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815" firstSheet="1" activeTab="1"/>
  </bookViews>
  <sheets>
    <sheet name="07 DONOR INCOME ANALYSIS HOH" sheetId="1" state="hidden" r:id="rId1"/>
    <sheet name="09 CONSOLIDATED BUDGET HOH" sheetId="2" r:id="rId2"/>
    <sheet name="09 HOH VILLAGE BUDGET" sheetId="3" r:id="rId3"/>
    <sheet name="09 HOH SCHOOL BUDGET" sheetId="4" r:id="rId4"/>
    <sheet name="09 HOH FARM BUDGET" sheetId="5" r:id="rId5"/>
  </sheets>
  <definedNames>
    <definedName name="_xlnm.Print_Area" localSheetId="1">'09 CONSOLIDATED BUDGET HOH'!$A$1:$AF$38</definedName>
    <definedName name="_xlnm.Print_Area" localSheetId="4">'09 HOH FARM BUDGET'!$A$1:$K$41</definedName>
    <definedName name="_xlnm.Print_Area" localSheetId="3">'09 HOH SCHOOL BUDGET'!$A$1:$AB$62</definedName>
    <definedName name="_xlnm.Print_Area" localSheetId="2">'09 HOH VILLAGE BUDGET'!$A$1:$AA$143</definedName>
  </definedNames>
  <calcPr fullCalcOnLoad="1"/>
</workbook>
</file>

<file path=xl/sharedStrings.xml><?xml version="1.0" encoding="utf-8"?>
<sst xmlns="http://schemas.openxmlformats.org/spreadsheetml/2006/main" count="425" uniqueCount="293">
  <si>
    <t>PER ANNUM</t>
  </si>
  <si>
    <t>Monthly</t>
  </si>
  <si>
    <t>USD</t>
  </si>
  <si>
    <t>Exp.Code</t>
  </si>
  <si>
    <t>Personnel Staff</t>
  </si>
  <si>
    <t>Details</t>
  </si>
  <si>
    <t xml:space="preserve">Monthly </t>
  </si>
  <si>
    <t>Budget</t>
  </si>
  <si>
    <t>Annual</t>
  </si>
  <si>
    <t>Co Founder</t>
  </si>
  <si>
    <t>Secretary</t>
  </si>
  <si>
    <t>Acc Clerks</t>
  </si>
  <si>
    <t>Tailor seam mistress</t>
  </si>
  <si>
    <t xml:space="preserve">Mother/caregivers </t>
  </si>
  <si>
    <t>QTY</t>
  </si>
  <si>
    <t>Unit</t>
  </si>
  <si>
    <t>Cost</t>
  </si>
  <si>
    <t>Cook</t>
  </si>
  <si>
    <t>Secondary School</t>
  </si>
  <si>
    <t>Stores Clerk</t>
  </si>
  <si>
    <t>Item</t>
  </si>
  <si>
    <t>TRAVELS &amp; TRANSPORT</t>
  </si>
  <si>
    <t>Travel &amp; Transport</t>
  </si>
  <si>
    <t>GRAND TOTALS</t>
  </si>
  <si>
    <t>Founding Director</t>
  </si>
  <si>
    <t>Accountant</t>
  </si>
  <si>
    <t>Nurse/Administrator</t>
  </si>
  <si>
    <t>Executive Director</t>
  </si>
  <si>
    <t>Windolene</t>
  </si>
  <si>
    <t>Herpic</t>
  </si>
  <si>
    <t>Moppers</t>
  </si>
  <si>
    <t>Human Resource</t>
  </si>
  <si>
    <t>Driver and Machanic</t>
  </si>
  <si>
    <t>0ffice assitant</t>
  </si>
  <si>
    <t>Counsellor/Evangelist</t>
  </si>
  <si>
    <t>Mothers Type (Earlylearning ECD) Psychso</t>
  </si>
  <si>
    <t xml:space="preserve">40 Mothers At $3.52 eachAllowance </t>
  </si>
  <si>
    <t>Refreshments $105.63Fuel +Stationery$197</t>
  </si>
  <si>
    <t>Teachers training Type Psychosocial</t>
  </si>
  <si>
    <t>support</t>
  </si>
  <si>
    <t>peer counselling (life skills Hiv/Aids Decision</t>
  </si>
  <si>
    <t>ADMINISTRATION</t>
  </si>
  <si>
    <t>CLINIC</t>
  </si>
  <si>
    <t>Watchmen</t>
  </si>
  <si>
    <t xml:space="preserve">Driver/ 1 For  Executive </t>
  </si>
  <si>
    <t>Children T/Type Childrens Corner Activities</t>
  </si>
  <si>
    <t>Number</t>
  </si>
  <si>
    <t xml:space="preserve">MCHINJI HOH - ANNUAL OPERATIONAL </t>
  </si>
  <si>
    <t>Village Budget Cost</t>
  </si>
  <si>
    <t>House Keeping</t>
  </si>
  <si>
    <t>Food Items</t>
  </si>
  <si>
    <t>Capital Expenditure</t>
  </si>
  <si>
    <t>Communication</t>
  </si>
  <si>
    <t>Internet connection and service</t>
  </si>
  <si>
    <t>Carpentry Trainer</t>
  </si>
  <si>
    <t>Exp Code</t>
  </si>
  <si>
    <t>USD/ANNUM</t>
  </si>
  <si>
    <t>MONTHLY</t>
  </si>
  <si>
    <t>DETAILS</t>
  </si>
  <si>
    <t>UNIT COST</t>
  </si>
  <si>
    <t>ANNUAL</t>
  </si>
  <si>
    <t>Head Teacher</t>
  </si>
  <si>
    <t>Teachers</t>
  </si>
  <si>
    <t>Deputy Head Teacher</t>
  </si>
  <si>
    <t>Computer Tutor</t>
  </si>
  <si>
    <t>Primary School</t>
  </si>
  <si>
    <t>Librarian</t>
  </si>
  <si>
    <t>Nursery Schools</t>
  </si>
  <si>
    <t>School Supplies</t>
  </si>
  <si>
    <t>a</t>
  </si>
  <si>
    <t>Calculators</t>
  </si>
  <si>
    <t>b</t>
  </si>
  <si>
    <t>Rulers</t>
  </si>
  <si>
    <t>c</t>
  </si>
  <si>
    <t>Mathematical Instrument</t>
  </si>
  <si>
    <t>d</t>
  </si>
  <si>
    <t>Reference Books</t>
  </si>
  <si>
    <t>e</t>
  </si>
  <si>
    <t>Exercise Books USD 1500.88 x3 Terms</t>
  </si>
  <si>
    <t>f</t>
  </si>
  <si>
    <t>Ballpoint USD 367.08 x 3 Terms</t>
  </si>
  <si>
    <t>g</t>
  </si>
  <si>
    <t xml:space="preserve">Identity cards for students writing </t>
  </si>
  <si>
    <t>Cleaning materials</t>
  </si>
  <si>
    <t>Toilet brushes</t>
  </si>
  <si>
    <t>Sweeping  brushes</t>
  </si>
  <si>
    <t>College fees</t>
  </si>
  <si>
    <t>3. Bunda College 1 student@ $176.06/year</t>
  </si>
  <si>
    <t xml:space="preserve">Training </t>
  </si>
  <si>
    <t xml:space="preserve"> Training for teachers and children</t>
  </si>
  <si>
    <t xml:space="preserve"> Computers</t>
  </si>
  <si>
    <t>Printers</t>
  </si>
  <si>
    <t xml:space="preserve"> Photocopying machine</t>
  </si>
  <si>
    <t>HOME OF HOPE- MCHINJI ORPHANAGE</t>
  </si>
  <si>
    <t>Administration</t>
  </si>
  <si>
    <t>Farm Manager</t>
  </si>
  <si>
    <t>Farm casual workers</t>
  </si>
  <si>
    <t>Chemichalsat$4.42/btle</t>
  </si>
  <si>
    <t>Fuel for fertilizer and harvest</t>
  </si>
  <si>
    <t>Seeds (a)Maize</t>
  </si>
  <si>
    <t xml:space="preserve">          (b) Beansx50kgs bag</t>
  </si>
  <si>
    <t xml:space="preserve">          ©Groundnutsx50kg bag</t>
  </si>
  <si>
    <t xml:space="preserve">          (d)Vegetables</t>
  </si>
  <si>
    <t>Empty sacks@50 each</t>
  </si>
  <si>
    <t>MF 275-2WD 7OHP</t>
  </si>
  <si>
    <t>Balden 3 disc Plough</t>
  </si>
  <si>
    <t>Hoes</t>
  </si>
  <si>
    <t>INCOME ANALYSIS</t>
  </si>
  <si>
    <t xml:space="preserve">      Jan</t>
  </si>
  <si>
    <t xml:space="preserve">        Feb</t>
  </si>
  <si>
    <t xml:space="preserve">    March</t>
  </si>
  <si>
    <t xml:space="preserve">     April</t>
  </si>
  <si>
    <t xml:space="preserve">    May</t>
  </si>
  <si>
    <t xml:space="preserve">      June</t>
  </si>
  <si>
    <t xml:space="preserve">      July</t>
  </si>
  <si>
    <t xml:space="preserve">    August</t>
  </si>
  <si>
    <t xml:space="preserve">  September</t>
  </si>
  <si>
    <t xml:space="preserve">   October</t>
  </si>
  <si>
    <t>November</t>
  </si>
  <si>
    <t xml:space="preserve">             Total</t>
  </si>
  <si>
    <t xml:space="preserve">DONOR </t>
  </si>
  <si>
    <t>REFERENCE NUMBER</t>
  </si>
  <si>
    <t xml:space="preserve">ACTUAL DONOR INCOME ANALYSIS - 2007 </t>
  </si>
  <si>
    <t>TOTAL MK</t>
  </si>
  <si>
    <t xml:space="preserve">Average ROE USD </t>
  </si>
  <si>
    <t>MK</t>
  </si>
  <si>
    <t>VILLAGE</t>
  </si>
  <si>
    <t>USD Annual</t>
  </si>
  <si>
    <t>Supporting Staff</t>
  </si>
  <si>
    <t xml:space="preserve"> Training</t>
  </si>
  <si>
    <t xml:space="preserve"> TRAINING</t>
  </si>
  <si>
    <t>Total per Annum</t>
  </si>
  <si>
    <t>Average per month</t>
  </si>
  <si>
    <t xml:space="preserve">SUMMARY </t>
  </si>
  <si>
    <t>V1</t>
  </si>
  <si>
    <t>V2</t>
  </si>
  <si>
    <t>V3</t>
  </si>
  <si>
    <t>V4</t>
  </si>
  <si>
    <t>V5</t>
  </si>
  <si>
    <t>V6</t>
  </si>
  <si>
    <t>V7</t>
  </si>
  <si>
    <t>V8</t>
  </si>
  <si>
    <t>V6b</t>
  </si>
  <si>
    <t>V9</t>
  </si>
  <si>
    <t>Exp.code</t>
  </si>
  <si>
    <t>Village (V..)</t>
  </si>
  <si>
    <t>MCHINJI HOH - JANE GLAVES SCHOOL</t>
  </si>
  <si>
    <t>BUDGET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</si>
  <si>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</si>
  <si>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</si>
  <si>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</si>
  <si>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</si>
  <si>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</si>
  <si>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</si>
  <si>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</si>
  <si>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</si>
  <si>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</si>
  <si>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</si>
  <si>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School supplies</t>
  </si>
  <si>
    <t>Secondary School salaries</t>
  </si>
  <si>
    <t>Primary school salaries</t>
  </si>
  <si>
    <t>Total USD</t>
  </si>
  <si>
    <t>MCHINJI HOH - FARM BUDGET</t>
  </si>
  <si>
    <t>F1</t>
  </si>
  <si>
    <t>F2</t>
  </si>
  <si>
    <t>TOTAL PER ANNUM</t>
  </si>
  <si>
    <t>F3</t>
  </si>
  <si>
    <t>F4</t>
  </si>
  <si>
    <t>F5</t>
  </si>
  <si>
    <t>F6</t>
  </si>
  <si>
    <t>F7</t>
  </si>
  <si>
    <t>MCHINJI HOME OF HOPE</t>
  </si>
  <si>
    <t>ANNUAL CONSOLIDATED BUDGET</t>
  </si>
  <si>
    <t>s8</t>
  </si>
  <si>
    <t>SCHOOL</t>
  </si>
  <si>
    <t>F8</t>
  </si>
  <si>
    <t>F9</t>
  </si>
  <si>
    <t>F10</t>
  </si>
  <si>
    <t>FARM</t>
  </si>
  <si>
    <t>TOTAL HOH</t>
  </si>
  <si>
    <t>CONSOLIDATED</t>
  </si>
  <si>
    <t>FARM BUDGET</t>
  </si>
  <si>
    <t>Village</t>
  </si>
  <si>
    <t>School</t>
  </si>
  <si>
    <t>Farm</t>
  </si>
  <si>
    <t>USD P.A.</t>
  </si>
  <si>
    <t>USD/mth</t>
  </si>
  <si>
    <t>TOTAL - USD PER ANNUM</t>
  </si>
  <si>
    <t>V</t>
  </si>
  <si>
    <t>S</t>
  </si>
  <si>
    <t>F</t>
  </si>
  <si>
    <t xml:space="preserve">Refer detailed worksheet </t>
  </si>
  <si>
    <t>NB</t>
  </si>
  <si>
    <t>V10</t>
  </si>
  <si>
    <t>VILLAGE, SCHOOL AND FARM</t>
  </si>
  <si>
    <t>GENERAL ACCOUNT FOR HOH</t>
  </si>
  <si>
    <t>Soya meat 25kg / week( 2 meals)</t>
  </si>
  <si>
    <t>Sun batteries:6/guard/wk x 10 guards</t>
  </si>
  <si>
    <t>Toilet brushes  - replacing 10 per month</t>
  </si>
  <si>
    <t>Scrubbing brushes - replacing 10 per month</t>
  </si>
  <si>
    <t>Feeding Bottles - replacing 10 /month</t>
  </si>
  <si>
    <t>Thermo Flasks - replacing 4 mth</t>
  </si>
  <si>
    <t>Electric Bulbs - replacing 40 per month</t>
  </si>
  <si>
    <t>Tooth Brushes - replace 1/pp every 2 months*</t>
  </si>
  <si>
    <t>Blankets - baby/small child  -2 /pp/year x36 kids</t>
  </si>
  <si>
    <t>Blankets - adult - 2/pp/year - x 505 adults</t>
  </si>
  <si>
    <t>Uniform x 400 kids x K3500 each</t>
  </si>
  <si>
    <t>School shoes x 400 kids x K6000 each</t>
  </si>
  <si>
    <t>Ltrs</t>
  </si>
  <si>
    <t>MC2356 - 10kms/litre</t>
  </si>
  <si>
    <t>Weekly llw 300kms  = 30 litres x 4.33</t>
  </si>
  <si>
    <t>Daily - 30kms x 30days = 3litres</t>
  </si>
  <si>
    <t>Maintenace = 2 x K140,000/service,tyres,shocks</t>
  </si>
  <si>
    <t>Service x 2/yr @ K500,000 per service</t>
  </si>
  <si>
    <t>Visiting Doctor/clinican - 2 days/week x 8 visits @k4000/each</t>
  </si>
  <si>
    <t>Medicine - drugs</t>
  </si>
  <si>
    <t>10% contingency on medicines (import item)</t>
  </si>
  <si>
    <t>ELECTRICITY BILLS at K150,000 per month</t>
  </si>
  <si>
    <t>Visiting social worker - 2 days/week x 8 visits @k4000/each</t>
  </si>
  <si>
    <t>Personnel</t>
  </si>
  <si>
    <t>capex</t>
  </si>
  <si>
    <t>Total without capex</t>
  </si>
  <si>
    <t>V,S and F</t>
  </si>
  <si>
    <t>Net of Capex</t>
  </si>
  <si>
    <t>Children 1 day to 18 years - 541</t>
  </si>
  <si>
    <t>College fees - 97 kids</t>
  </si>
  <si>
    <t>1. MCA  students@1,116.37x 2 semesters</t>
  </si>
  <si>
    <t>4.Chancellor college x K85,000 p.a.</t>
  </si>
  <si>
    <t>5.2008 - 45 potential for Tech College</t>
  </si>
  <si>
    <t>2. Tech. College - K25,000+K10,000/term x3</t>
  </si>
  <si>
    <t>Kids for who HOH pays teriery education</t>
  </si>
  <si>
    <t>6.NRC - 1 x K47500 x 2 semesters</t>
  </si>
  <si>
    <t>funded by /…</t>
  </si>
  <si>
    <t>forex value</t>
  </si>
  <si>
    <t>paid into a/c</t>
  </si>
  <si>
    <t>Grocery</t>
  </si>
  <si>
    <t>Housekeeping</t>
  </si>
  <si>
    <t xml:space="preserve"> </t>
  </si>
  <si>
    <t>Note : 2008 =25% increase to base MK salary</t>
  </si>
  <si>
    <t>Beef : (2 cows) (2meals) per week  K50,000/each</t>
  </si>
  <si>
    <t>30x 25kg baby milk at K25,000/25kg</t>
  </si>
  <si>
    <t xml:space="preserve">Firewood : @K1000/load </t>
  </si>
  <si>
    <t>\</t>
  </si>
  <si>
    <t>Nursery biscuits unit=12packets=10biscuit: 2bcts/d/childx120kids</t>
  </si>
  <si>
    <t>Washing Powder OMO packets 1sachet/pp/wk</t>
  </si>
  <si>
    <t>Doom - 1tin/room/week x 20 rooms</t>
  </si>
  <si>
    <t>Sweeping brushes replacing 20 a month (1 per room)</t>
  </si>
  <si>
    <t>Moppers : replacing 2 /mth per room x 20 rooms</t>
  </si>
  <si>
    <t>Plastic plates - replacing 170 per month</t>
  </si>
  <si>
    <t>Plastic buckets/pales - repalcing 20 /mth</t>
  </si>
  <si>
    <t>Plastic Cups - replacing 170 per month</t>
  </si>
  <si>
    <t>Plastic spoons - replacing 170 per month</t>
  </si>
  <si>
    <t>Finance Manager</t>
  </si>
  <si>
    <t>Dwelling Houses, boys girls hostel,hall,sec.sch.clinic office block</t>
  </si>
  <si>
    <t>Audit and legal fees</t>
  </si>
  <si>
    <t>Utilities,Legal &amp; audit</t>
  </si>
  <si>
    <t>2009 FARM BUDGET</t>
  </si>
  <si>
    <t>Sugar 20kg/bale (porriage and tea) at K2425/20kg</t>
  </si>
  <si>
    <t>Maize x 50kg at K2,600/50kg</t>
  </si>
  <si>
    <t>Beans x 50kg x 1 per dayK10,000</t>
  </si>
  <si>
    <t>Salt x 10 kg/day = K995 /10kg</t>
  </si>
  <si>
    <t>Sobo Juices by 4 x 2litres/day at K285/2ltr</t>
  </si>
  <si>
    <t>Rice 50kg x 2 bags/day @K10000/50kgs</t>
  </si>
  <si>
    <t>Cooking oil 5 litres/day @K493/ltr</t>
  </si>
  <si>
    <t>Tea Chombe bale=2800 sachets at K6700 each Bale</t>
  </si>
  <si>
    <t>Bread bun 600 people/day at K20 each Bun</t>
  </si>
  <si>
    <t>Maluwa Soap 2tabs/pp/week - 1carton=72tabs@K1209/carton</t>
  </si>
  <si>
    <t>Lifebuoy Soap-1 bar/pp/week - K1627=36tabs</t>
  </si>
  <si>
    <t>Vaseline- 50gms/pp/week :carton=K1440=12 jars</t>
  </si>
  <si>
    <t>Toilet tissues bale atK1125/bale=50 rolls :1roll/child/week</t>
  </si>
  <si>
    <t>Kiwi Shoe Polish- 12tins=K1684: 300 kids @ 1/mth</t>
  </si>
  <si>
    <t>Candles at K330/doz. : 12candles/mth/room x 20 rooms</t>
  </si>
  <si>
    <t>Tooth paste (Colgate) 50mls/pp/mth x 300 people at K2494/Case</t>
  </si>
  <si>
    <t>Vim :bale of 20 sachets at K1132/bale:  at 1/week/roomx 20 rooms</t>
  </si>
  <si>
    <t>Matches =K500/carton=12boxes: 1box/week/room x 20 rooms</t>
  </si>
  <si>
    <t>Harpic - replacement 20 per month at K885/Case</t>
  </si>
  <si>
    <t>6 Officers (trainers ) Allowances $27.14</t>
  </si>
  <si>
    <t>Staff Training</t>
  </si>
  <si>
    <t>Fertiliser 23:21:0 +45 50kgs</t>
  </si>
  <si>
    <t>Fertiliser UREA</t>
  </si>
  <si>
    <t xml:space="preserve">CONSOLIDATED BUDGET </t>
  </si>
  <si>
    <t>fortnightly -llw x 2 trips of 300 kms = 104 litres x 4.3</t>
  </si>
  <si>
    <t>FUEL COSTS  New min bus</t>
  </si>
  <si>
    <t>Maintenance = 3 x K180,000/service,tyres,shocks</t>
  </si>
  <si>
    <t>New 3 Toner</t>
  </si>
  <si>
    <t>fortnightly -llw x 2 trips of 300 kms = 600/10 litres x 4.3</t>
  </si>
  <si>
    <t>Service x 4/yr @ K90,000 per service</t>
  </si>
  <si>
    <t>Weekly llw x 1 trips x 300kms=300/8kmslitre</t>
  </si>
  <si>
    <t xml:space="preserve">3Tonner - BL7874 -  8kms/litrs BEFORE sale </t>
  </si>
  <si>
    <t>Daily 40kms * 8kms/litre</t>
  </si>
  <si>
    <t>Suggested by Board U$ 142,800 PER YEAR</t>
  </si>
  <si>
    <t>3 toner truck and minibus 10 seater.</t>
  </si>
  <si>
    <t xml:space="preserve">Counselling in age groups 18above, 12, 8 ,6 etc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</si>
</sst>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MK&quot;#,##0_);\(&quot;MK&quot;#,##0\)"/>
    <numFmt numFmtId="165" formatCode="&quot;MK&quot;#,##0_);[Red]\(&quot;MK&quot;#,##0\)"/>
    <numFmt numFmtId="166" formatCode="&quot;MK&quot;#,##0.00_);\(&quot;MK&quot;#,##0.00\)"/>
    <numFmt numFmtId="167" formatCode="&quot;MK&quot;#,##0.00_);[Red]\(&quot;MK&quot;#,##0.00\)"/>
    <numFmt numFmtId="168" formatCode="_(&quot;MK&quot;* #,##0_);_(&quot;MK&quot;* \(#,##0\);_(&quot;MK&quot;* &quot;-&quot;_);_(@_)"/>
    <numFmt numFmtId="169" formatCode="_(* #,##0_);_(* \(#,##0\);_(* &quot;-&quot;_);_(@_)"/>
    <numFmt numFmtId="170" formatCode="_(&quot;MK&quot;* #,##0.00_);_(&quot;MK&quot;* \(#,##0.00\);_(&quot;MK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_(&quot;K&quot;* #,##0_);_(&quot;K&quot;* \(#,##0\);_(&quot;K&quot;* &quot;-&quot;_);_(@_)"/>
    <numFmt numFmtId="183" formatCode="_(&quot;K&quot;* #,##0.00_);_(&quot;K&quot;* \(#,##0.00\);_(&quot;K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0.0000"/>
    <numFmt numFmtId="190" formatCode="0.00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171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1" fontId="0" fillId="0" borderId="0" xfId="44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8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center"/>
    </xf>
    <xf numFmtId="171" fontId="14" fillId="0" borderId="0" xfId="44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/>
    </xf>
    <xf numFmtId="4" fontId="16" fillId="0" borderId="24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0" fontId="9" fillId="0" borderId="1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4" fontId="14" fillId="0" borderId="29" xfId="0" applyNumberFormat="1" applyFont="1" applyFill="1" applyBorder="1" applyAlignment="1">
      <alignment/>
    </xf>
    <xf numFmtId="4" fontId="14" fillId="0" borderId="33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/>
    </xf>
    <xf numFmtId="4" fontId="9" fillId="0" borderId="37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4" fontId="14" fillId="0" borderId="12" xfId="0" applyNumberFormat="1" applyFont="1" applyFill="1" applyBorder="1" applyAlignment="1">
      <alignment/>
    </xf>
    <xf numFmtId="4" fontId="9" fillId="0" borderId="34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/>
    </xf>
    <xf numFmtId="4" fontId="9" fillId="0" borderId="38" xfId="0" applyNumberFormat="1" applyFont="1" applyBorder="1" applyAlignment="1">
      <alignment/>
    </xf>
    <xf numFmtId="0" fontId="9" fillId="0" borderId="38" xfId="0" applyNumberFormat="1" applyFont="1" applyBorder="1" applyAlignment="1">
      <alignment/>
    </xf>
    <xf numFmtId="4" fontId="14" fillId="0" borderId="39" xfId="0" applyNumberFormat="1" applyFont="1" applyFill="1" applyBorder="1" applyAlignment="1">
      <alignment/>
    </xf>
    <xf numFmtId="4" fontId="14" fillId="0" borderId="40" xfId="0" applyNumberFormat="1" applyFont="1" applyFill="1" applyBorder="1" applyAlignment="1">
      <alignment/>
    </xf>
    <xf numFmtId="4" fontId="9" fillId="0" borderId="41" xfId="0" applyNumberFormat="1" applyFont="1" applyBorder="1" applyAlignment="1">
      <alignment/>
    </xf>
    <xf numFmtId="0" fontId="9" fillId="0" borderId="42" xfId="0" applyFont="1" applyBorder="1" applyAlignment="1">
      <alignment/>
    </xf>
    <xf numFmtId="0" fontId="9" fillId="33" borderId="43" xfId="0" applyFont="1" applyFill="1" applyBorder="1" applyAlignment="1">
      <alignment horizontal="center"/>
    </xf>
    <xf numFmtId="0" fontId="9" fillId="33" borderId="43" xfId="0" applyFont="1" applyFill="1" applyBorder="1" applyAlignment="1">
      <alignment/>
    </xf>
    <xf numFmtId="4" fontId="9" fillId="33" borderId="43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0" fontId="9" fillId="0" borderId="43" xfId="0" applyNumberFormat="1" applyFont="1" applyFill="1" applyBorder="1" applyAlignment="1">
      <alignment/>
    </xf>
    <xf numFmtId="4" fontId="14" fillId="0" borderId="44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9" fillId="0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/>
    </xf>
    <xf numFmtId="0" fontId="9" fillId="0" borderId="10" xfId="0" applyNumberFormat="1" applyFont="1" applyBorder="1" applyAlignment="1">
      <alignment/>
    </xf>
    <xf numFmtId="4" fontId="14" fillId="0" borderId="29" xfId="44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0" borderId="48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9" fillId="0" borderId="49" xfId="0" applyNumberFormat="1" applyFont="1" applyBorder="1" applyAlignment="1">
      <alignment/>
    </xf>
    <xf numFmtId="0" fontId="14" fillId="0" borderId="50" xfId="0" applyNumberFormat="1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10" fillId="33" borderId="51" xfId="0" applyFont="1" applyFill="1" applyBorder="1" applyAlignment="1">
      <alignment/>
    </xf>
    <xf numFmtId="4" fontId="9" fillId="33" borderId="51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9" fillId="0" borderId="51" xfId="0" applyNumberFormat="1" applyFont="1" applyFill="1" applyBorder="1" applyAlignment="1">
      <alignment/>
    </xf>
    <xf numFmtId="171" fontId="14" fillId="0" borderId="52" xfId="44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0" borderId="53" xfId="0" applyFont="1" applyBorder="1" applyAlignment="1">
      <alignment horizontal="center"/>
    </xf>
    <xf numFmtId="171" fontId="14" fillId="0" borderId="12" xfId="44" applyFont="1" applyFill="1" applyBorder="1" applyAlignment="1">
      <alignment/>
    </xf>
    <xf numFmtId="0" fontId="9" fillId="0" borderId="40" xfId="0" applyFont="1" applyBorder="1" applyAlignment="1">
      <alignment horizontal="center"/>
    </xf>
    <xf numFmtId="171" fontId="14" fillId="0" borderId="39" xfId="44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54" xfId="0" applyFont="1" applyFill="1" applyBorder="1" applyAlignment="1">
      <alignment/>
    </xf>
    <xf numFmtId="0" fontId="14" fillId="0" borderId="29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/>
    </xf>
    <xf numFmtId="4" fontId="14" fillId="0" borderId="53" xfId="0" applyNumberFormat="1" applyFont="1" applyFill="1" applyBorder="1" applyAlignment="1">
      <alignment/>
    </xf>
    <xf numFmtId="4" fontId="9" fillId="0" borderId="55" xfId="0" applyNumberFormat="1" applyFont="1" applyBorder="1" applyAlignment="1">
      <alignment/>
    </xf>
    <xf numFmtId="0" fontId="9" fillId="33" borderId="51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4" fillId="0" borderId="52" xfId="0" applyNumberFormat="1" applyFont="1" applyFill="1" applyBorder="1" applyAlignment="1">
      <alignment/>
    </xf>
    <xf numFmtId="4" fontId="14" fillId="0" borderId="30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4" fillId="0" borderId="44" xfId="0" applyNumberFormat="1" applyFont="1" applyFill="1" applyBorder="1" applyAlignment="1">
      <alignment/>
    </xf>
    <xf numFmtId="0" fontId="17" fillId="0" borderId="43" xfId="54" applyFont="1" applyFill="1" applyBorder="1" applyAlignment="1" applyProtection="1">
      <alignment/>
      <protection/>
    </xf>
    <xf numFmtId="0" fontId="9" fillId="0" borderId="33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33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171" fontId="9" fillId="0" borderId="34" xfId="44" applyFont="1" applyBorder="1" applyAlignment="1">
      <alignment/>
    </xf>
    <xf numFmtId="0" fontId="10" fillId="0" borderId="5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left"/>
    </xf>
    <xf numFmtId="4" fontId="9" fillId="0" borderId="41" xfId="0" applyNumberFormat="1" applyFont="1" applyFill="1" applyBorder="1" applyAlignment="1">
      <alignment/>
    </xf>
    <xf numFmtId="0" fontId="9" fillId="0" borderId="56" xfId="0" applyFont="1" applyFill="1" applyBorder="1" applyAlignment="1">
      <alignment horizontal="center"/>
    </xf>
    <xf numFmtId="0" fontId="9" fillId="0" borderId="54" xfId="0" applyFont="1" applyBorder="1" applyAlignment="1">
      <alignment/>
    </xf>
    <xf numFmtId="0" fontId="9" fillId="0" borderId="43" xfId="0" applyFont="1" applyFill="1" applyBorder="1" applyAlignment="1">
      <alignment horizontal="left"/>
    </xf>
    <xf numFmtId="0" fontId="9" fillId="0" borderId="43" xfId="0" applyFont="1" applyBorder="1" applyAlignment="1">
      <alignment/>
    </xf>
    <xf numFmtId="4" fontId="14" fillId="0" borderId="43" xfId="0" applyNumberFormat="1" applyFont="1" applyFill="1" applyBorder="1" applyAlignment="1">
      <alignment/>
    </xf>
    <xf numFmtId="0" fontId="9" fillId="0" borderId="45" xfId="0" applyFont="1" applyBorder="1" applyAlignment="1">
      <alignment horizontal="center"/>
    </xf>
    <xf numFmtId="4" fontId="9" fillId="0" borderId="43" xfId="0" applyNumberFormat="1" applyFont="1" applyBorder="1" applyAlignment="1">
      <alignment/>
    </xf>
    <xf numFmtId="0" fontId="1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47" xfId="0" applyFont="1" applyBorder="1" applyAlignment="1">
      <alignment/>
    </xf>
    <xf numFmtId="18" fontId="9" fillId="33" borderId="4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35" xfId="0" applyFont="1" applyBorder="1" applyAlignment="1">
      <alignment/>
    </xf>
    <xf numFmtId="2" fontId="14" fillId="0" borderId="29" xfId="0" applyNumberFormat="1" applyFont="1" applyFill="1" applyBorder="1" applyAlignment="1">
      <alignment/>
    </xf>
    <xf numFmtId="43" fontId="14" fillId="0" borderId="29" xfId="42" applyFont="1" applyFill="1" applyBorder="1" applyAlignment="1">
      <alignment/>
    </xf>
    <xf numFmtId="0" fontId="10" fillId="0" borderId="38" xfId="0" applyFont="1" applyFill="1" applyBorder="1" applyAlignment="1">
      <alignment/>
    </xf>
    <xf numFmtId="4" fontId="10" fillId="0" borderId="41" xfId="0" applyNumberFormat="1" applyFont="1" applyBorder="1" applyAlignment="1">
      <alignment/>
    </xf>
    <xf numFmtId="0" fontId="9" fillId="0" borderId="38" xfId="0" applyFont="1" applyFill="1" applyBorder="1" applyAlignment="1">
      <alignment/>
    </xf>
    <xf numFmtId="0" fontId="14" fillId="0" borderId="39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0" fontId="9" fillId="34" borderId="37" xfId="0" applyFon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1" fontId="9" fillId="34" borderId="37" xfId="0" applyNumberFormat="1" applyFont="1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1" fontId="9" fillId="0" borderId="37" xfId="0" applyNumberFormat="1" applyFont="1" applyBorder="1" applyAlignment="1">
      <alignment/>
    </xf>
    <xf numFmtId="0" fontId="9" fillId="0" borderId="37" xfId="0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54" xfId="0" applyFont="1" applyBorder="1" applyAlignment="1">
      <alignment horizontal="center"/>
    </xf>
    <xf numFmtId="4" fontId="9" fillId="0" borderId="54" xfId="0" applyNumberFormat="1" applyFont="1" applyBorder="1" applyAlignment="1">
      <alignment/>
    </xf>
    <xf numFmtId="4" fontId="9" fillId="0" borderId="57" xfId="0" applyNumberFormat="1" applyFont="1" applyBorder="1" applyAlignment="1">
      <alignment/>
    </xf>
    <xf numFmtId="0" fontId="9" fillId="0" borderId="43" xfId="0" applyFont="1" applyFill="1" applyBorder="1" applyAlignment="1">
      <alignment horizontal="center"/>
    </xf>
    <xf numFmtId="4" fontId="10" fillId="0" borderId="43" xfId="0" applyNumberFormat="1" applyFont="1" applyBorder="1" applyAlignment="1">
      <alignment/>
    </xf>
    <xf numFmtId="171" fontId="9" fillId="0" borderId="43" xfId="44" applyFont="1" applyBorder="1" applyAlignment="1">
      <alignment/>
    </xf>
    <xf numFmtId="0" fontId="9" fillId="0" borderId="38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171" fontId="9" fillId="0" borderId="38" xfId="44" applyFont="1" applyFill="1" applyBorder="1" applyAlignment="1">
      <alignment/>
    </xf>
    <xf numFmtId="0" fontId="9" fillId="33" borderId="54" xfId="0" applyFont="1" applyFill="1" applyBorder="1" applyAlignment="1">
      <alignment horizontal="center"/>
    </xf>
    <xf numFmtId="4" fontId="10" fillId="33" borderId="43" xfId="0" applyNumberFormat="1" applyFont="1" applyFill="1" applyBorder="1" applyAlignment="1">
      <alignment/>
    </xf>
    <xf numFmtId="171" fontId="9" fillId="33" borderId="43" xfId="44" applyFont="1" applyFill="1" applyBorder="1" applyAlignment="1">
      <alignment/>
    </xf>
    <xf numFmtId="0" fontId="9" fillId="0" borderId="54" xfId="0" applyFont="1" applyFill="1" applyBorder="1" applyAlignment="1">
      <alignment horizontal="center"/>
    </xf>
    <xf numFmtId="0" fontId="11" fillId="0" borderId="38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9" fillId="0" borderId="55" xfId="0" applyFont="1" applyBorder="1" applyAlignment="1">
      <alignment/>
    </xf>
    <xf numFmtId="0" fontId="9" fillId="33" borderId="51" xfId="0" applyFont="1" applyFill="1" applyBorder="1" applyAlignment="1">
      <alignment horizontal="center"/>
    </xf>
    <xf numFmtId="4" fontId="10" fillId="33" borderId="51" xfId="0" applyNumberFormat="1" applyFont="1" applyFill="1" applyBorder="1" applyAlignment="1">
      <alignment/>
    </xf>
    <xf numFmtId="171" fontId="9" fillId="33" borderId="51" xfId="44" applyFont="1" applyFill="1" applyBorder="1" applyAlignment="1">
      <alignment/>
    </xf>
    <xf numFmtId="0" fontId="14" fillId="0" borderId="5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9" fillId="0" borderId="34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9" fillId="33" borderId="29" xfId="0" applyNumberFormat="1" applyFont="1" applyFill="1" applyBorder="1" applyAlignment="1">
      <alignment/>
    </xf>
    <xf numFmtId="4" fontId="16" fillId="33" borderId="33" xfId="0" applyNumberFormat="1" applyFont="1" applyFill="1" applyBorder="1" applyAlignment="1">
      <alignment/>
    </xf>
    <xf numFmtId="4" fontId="10" fillId="33" borderId="34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4" fontId="16" fillId="0" borderId="33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4" fontId="16" fillId="0" borderId="4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10" fillId="0" borderId="19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0" fontId="10" fillId="0" borderId="58" xfId="0" applyFont="1" applyBorder="1" applyAlignment="1">
      <alignment horizontal="center"/>
    </xf>
    <xf numFmtId="0" fontId="9" fillId="0" borderId="59" xfId="0" applyFont="1" applyBorder="1" applyAlignment="1">
      <alignment/>
    </xf>
    <xf numFmtId="4" fontId="10" fillId="0" borderId="51" xfId="0" applyNumberFormat="1" applyFont="1" applyBorder="1" applyAlignment="1">
      <alignment/>
    </xf>
    <xf numFmtId="4" fontId="9" fillId="0" borderId="51" xfId="0" applyNumberFormat="1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1" xfId="0" applyNumberFormat="1" applyFont="1" applyBorder="1" applyAlignment="1">
      <alignment/>
    </xf>
    <xf numFmtId="4" fontId="9" fillId="0" borderId="46" xfId="0" applyNumberFormat="1" applyFont="1" applyBorder="1" applyAlignment="1">
      <alignment/>
    </xf>
    <xf numFmtId="0" fontId="10" fillId="0" borderId="60" xfId="0" applyFont="1" applyBorder="1" applyAlignment="1">
      <alignment horizontal="center"/>
    </xf>
    <xf numFmtId="0" fontId="9" fillId="0" borderId="48" xfId="0" applyFont="1" applyBorder="1" applyAlignment="1">
      <alignment/>
    </xf>
    <xf numFmtId="171" fontId="14" fillId="0" borderId="29" xfId="44" applyFont="1" applyFill="1" applyBorder="1" applyAlignment="1">
      <alignment/>
    </xf>
    <xf numFmtId="0" fontId="10" fillId="0" borderId="6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62" xfId="0" applyFont="1" applyBorder="1" applyAlignment="1">
      <alignment horizontal="center"/>
    </xf>
    <xf numFmtId="0" fontId="9" fillId="0" borderId="6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9" fillId="0" borderId="64" xfId="0" applyFont="1" applyBorder="1" applyAlignment="1">
      <alignment/>
    </xf>
    <xf numFmtId="4" fontId="9" fillId="0" borderId="65" xfId="0" applyNumberFormat="1" applyFont="1" applyBorder="1" applyAlignment="1">
      <alignment/>
    </xf>
    <xf numFmtId="4" fontId="9" fillId="0" borderId="66" xfId="0" applyNumberFormat="1" applyFont="1" applyBorder="1" applyAlignment="1">
      <alignment/>
    </xf>
    <xf numFmtId="0" fontId="9" fillId="0" borderId="67" xfId="0" applyFont="1" applyBorder="1" applyAlignment="1">
      <alignment/>
    </xf>
    <xf numFmtId="0" fontId="9" fillId="0" borderId="54" xfId="0" applyNumberFormat="1" applyFont="1" applyBorder="1" applyAlignment="1">
      <alignment/>
    </xf>
    <xf numFmtId="0" fontId="16" fillId="0" borderId="57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0" fontId="10" fillId="0" borderId="61" xfId="0" applyFont="1" applyFill="1" applyBorder="1" applyAlignment="1">
      <alignment horizontal="center"/>
    </xf>
    <xf numFmtId="0" fontId="9" fillId="0" borderId="68" xfId="0" applyFont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43" xfId="0" applyNumberFormat="1" applyFont="1" applyBorder="1" applyAlignment="1">
      <alignment/>
    </xf>
    <xf numFmtId="0" fontId="9" fillId="0" borderId="44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9" fillId="0" borderId="6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9" fillId="0" borderId="69" xfId="0" applyFont="1" applyFill="1" applyBorder="1" applyAlignment="1">
      <alignment/>
    </xf>
    <xf numFmtId="0" fontId="9" fillId="0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9" fillId="0" borderId="66" xfId="0" applyFont="1" applyFill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12" xfId="0" applyNumberFormat="1" applyFont="1" applyFill="1" applyBorder="1" applyAlignment="1">
      <alignment/>
    </xf>
    <xf numFmtId="4" fontId="9" fillId="0" borderId="53" xfId="0" applyNumberFormat="1" applyFont="1" applyFill="1" applyBorder="1" applyAlignment="1">
      <alignment/>
    </xf>
    <xf numFmtId="0" fontId="9" fillId="0" borderId="70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10" fillId="0" borderId="70" xfId="0" applyFont="1" applyFill="1" applyBorder="1" applyAlignment="1">
      <alignment/>
    </xf>
    <xf numFmtId="0" fontId="10" fillId="0" borderId="14" xfId="0" applyNumberFormat="1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67" xfId="0" applyNumberFormat="1" applyFont="1" applyBorder="1" applyAlignment="1">
      <alignment/>
    </xf>
    <xf numFmtId="4" fontId="9" fillId="0" borderId="57" xfId="0" applyNumberFormat="1" applyFont="1" applyFill="1" applyBorder="1" applyAlignment="1">
      <alignment/>
    </xf>
    <xf numFmtId="4" fontId="9" fillId="0" borderId="56" xfId="0" applyNumberFormat="1" applyFont="1" applyFill="1" applyBorder="1" applyAlignment="1">
      <alignment/>
    </xf>
    <xf numFmtId="4" fontId="9" fillId="0" borderId="70" xfId="0" applyNumberFormat="1" applyFont="1" applyBorder="1" applyAlignment="1">
      <alignment/>
    </xf>
    <xf numFmtId="0" fontId="9" fillId="0" borderId="72" xfId="0" applyNumberFormat="1" applyFont="1" applyBorder="1" applyAlignment="1">
      <alignment/>
    </xf>
    <xf numFmtId="0" fontId="9" fillId="0" borderId="73" xfId="0" applyNumberFormat="1" applyFont="1" applyFill="1" applyBorder="1" applyAlignment="1">
      <alignment/>
    </xf>
    <xf numFmtId="4" fontId="9" fillId="0" borderId="72" xfId="0" applyNumberFormat="1" applyFont="1" applyFill="1" applyBorder="1" applyAlignment="1">
      <alignment/>
    </xf>
    <xf numFmtId="0" fontId="9" fillId="0" borderId="53" xfId="0" applyNumberFormat="1" applyFont="1" applyBorder="1" applyAlignment="1">
      <alignment/>
    </xf>
    <xf numFmtId="0" fontId="9" fillId="0" borderId="40" xfId="0" applyNumberFormat="1" applyFont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66" xfId="0" applyNumberFormat="1" applyFont="1" applyFill="1" applyBorder="1" applyAlignment="1">
      <alignment/>
    </xf>
    <xf numFmtId="0" fontId="9" fillId="0" borderId="57" xfId="0" applyFont="1" applyFill="1" applyBorder="1" applyAlignment="1">
      <alignment/>
    </xf>
    <xf numFmtId="43" fontId="9" fillId="0" borderId="55" xfId="42" applyFont="1" applyFill="1" applyBorder="1" applyAlignment="1">
      <alignment/>
    </xf>
    <xf numFmtId="0" fontId="9" fillId="0" borderId="55" xfId="0" applyNumberFormat="1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9" fillId="0" borderId="41" xfId="0" applyNumberFormat="1" applyFont="1" applyFill="1" applyBorder="1" applyAlignment="1">
      <alignment/>
    </xf>
    <xf numFmtId="0" fontId="9" fillId="0" borderId="57" xfId="0" applyNumberFormat="1" applyFont="1" applyFill="1" applyBorder="1" applyAlignment="1">
      <alignment/>
    </xf>
    <xf numFmtId="4" fontId="11" fillId="0" borderId="55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4" fontId="9" fillId="0" borderId="67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4" fontId="10" fillId="0" borderId="74" xfId="0" applyNumberFormat="1" applyFont="1" applyFill="1" applyBorder="1" applyAlignment="1">
      <alignment/>
    </xf>
    <xf numFmtId="4" fontId="9" fillId="0" borderId="68" xfId="0" applyNumberFormat="1" applyFont="1" applyFill="1" applyBorder="1" applyAlignment="1">
      <alignment horizontal="center"/>
    </xf>
    <xf numFmtId="4" fontId="10" fillId="0" borderId="67" xfId="0" applyNumberFormat="1" applyFont="1" applyFill="1" applyBorder="1" applyAlignment="1">
      <alignment horizontal="center"/>
    </xf>
    <xf numFmtId="0" fontId="10" fillId="0" borderId="74" xfId="0" applyFont="1" applyFill="1" applyBorder="1" applyAlignment="1">
      <alignment/>
    </xf>
    <xf numFmtId="4" fontId="10" fillId="0" borderId="68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" fontId="14" fillId="0" borderId="34" xfId="0" applyNumberFormat="1" applyFont="1" applyBorder="1" applyAlignment="1">
      <alignment/>
    </xf>
    <xf numFmtId="43" fontId="14" fillId="0" borderId="12" xfId="42" applyFont="1" applyFill="1" applyBorder="1" applyAlignment="1">
      <alignment/>
    </xf>
    <xf numFmtId="0" fontId="9" fillId="0" borderId="43" xfId="0" applyFont="1" applyBorder="1" applyAlignment="1">
      <alignment horizontal="center"/>
    </xf>
    <xf numFmtId="171" fontId="14" fillId="0" borderId="34" xfId="44" applyFont="1" applyFill="1" applyBorder="1" applyAlignment="1">
      <alignment/>
    </xf>
    <xf numFmtId="0" fontId="16" fillId="0" borderId="29" xfId="0" applyNumberFormat="1" applyFont="1" applyFill="1" applyBorder="1" applyAlignment="1">
      <alignment/>
    </xf>
    <xf numFmtId="0" fontId="16" fillId="0" borderId="39" xfId="0" applyNumberFormat="1" applyFont="1" applyFill="1" applyBorder="1" applyAlignment="1">
      <alignment/>
    </xf>
    <xf numFmtId="0" fontId="16" fillId="0" borderId="44" xfId="0" applyNumberFormat="1" applyFont="1" applyFill="1" applyBorder="1" applyAlignment="1">
      <alignment/>
    </xf>
    <xf numFmtId="4" fontId="16" fillId="0" borderId="45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.7109375" style="0" customWidth="1"/>
    <col min="2" max="2" width="12.57421875" style="0" customWidth="1"/>
    <col min="3" max="3" width="12.7109375" style="0" customWidth="1"/>
    <col min="4" max="6" width="10.00390625" style="0" bestFit="1" customWidth="1"/>
    <col min="7" max="7" width="8.7109375" style="0" bestFit="1" customWidth="1"/>
    <col min="8" max="11" width="10.00390625" style="0" bestFit="1" customWidth="1"/>
    <col min="12" max="12" width="10.8515625" style="0" bestFit="1" customWidth="1"/>
    <col min="13" max="13" width="8.00390625" style="0" bestFit="1" customWidth="1"/>
    <col min="14" max="14" width="4.00390625" style="0" bestFit="1" customWidth="1"/>
    <col min="15" max="15" width="12.00390625" style="0" bestFit="1" customWidth="1"/>
  </cols>
  <sheetData>
    <row r="2" ht="12.75">
      <c r="A2" t="s">
        <v>122</v>
      </c>
    </row>
    <row r="3" spans="1:5" ht="12.75">
      <c r="A3" s="3" t="s">
        <v>107</v>
      </c>
      <c r="C3" s="3" t="s">
        <v>195</v>
      </c>
      <c r="D3" s="3"/>
      <c r="E3" s="3"/>
    </row>
    <row r="4" ht="12.75">
      <c r="A4" t="s">
        <v>120</v>
      </c>
    </row>
    <row r="5" spans="1:15" ht="12.75">
      <c r="A5" s="4" t="s">
        <v>121</v>
      </c>
      <c r="B5" s="4"/>
      <c r="C5" s="11" t="s">
        <v>108</v>
      </c>
      <c r="D5" s="12" t="s">
        <v>109</v>
      </c>
      <c r="E5" s="12" t="s">
        <v>110</v>
      </c>
      <c r="F5" s="12" t="s">
        <v>111</v>
      </c>
      <c r="G5" s="12" t="s">
        <v>112</v>
      </c>
      <c r="H5" s="12" t="s">
        <v>113</v>
      </c>
      <c r="I5" s="12" t="s">
        <v>114</v>
      </c>
      <c r="J5" s="12" t="s">
        <v>115</v>
      </c>
      <c r="K5" s="12" t="s">
        <v>116</v>
      </c>
      <c r="L5" s="12" t="s">
        <v>117</v>
      </c>
      <c r="M5" s="13" t="s">
        <v>118</v>
      </c>
      <c r="N5" s="4"/>
      <c r="O5" s="4" t="s">
        <v>119</v>
      </c>
    </row>
    <row r="6" spans="1:15" ht="12.75">
      <c r="A6" s="4">
        <v>1</v>
      </c>
      <c r="B6" s="14" t="s">
        <v>125</v>
      </c>
      <c r="C6" s="14"/>
      <c r="D6" s="14">
        <v>484283.85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5">
        <f>SUM(C6:N6)</f>
        <v>484283.85</v>
      </c>
    </row>
    <row r="7" spans="1:15" ht="12.75">
      <c r="A7" s="4">
        <v>2</v>
      </c>
      <c r="B7" s="14"/>
      <c r="C7" s="16">
        <v>108500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5">
        <f>SUM(C7:N7)</f>
        <v>108500</v>
      </c>
    </row>
    <row r="8" spans="1:15" ht="12.75">
      <c r="A8" s="4">
        <v>3</v>
      </c>
      <c r="B8" s="14"/>
      <c r="C8" s="16">
        <v>1791783.37</v>
      </c>
      <c r="D8" s="16"/>
      <c r="E8" s="16"/>
      <c r="F8" s="16">
        <v>1790596.48</v>
      </c>
      <c r="G8" s="16">
        <v>50703.39</v>
      </c>
      <c r="H8" s="16">
        <v>1734446.91</v>
      </c>
      <c r="I8" s="16"/>
      <c r="J8" s="16"/>
      <c r="K8" s="16"/>
      <c r="L8" s="16"/>
      <c r="M8" s="16"/>
      <c r="N8" s="16"/>
      <c r="O8" s="15">
        <f>SUM(C8:N8)</f>
        <v>5367530.15</v>
      </c>
    </row>
    <row r="9" spans="1:15" ht="12.75">
      <c r="A9" s="4">
        <v>4</v>
      </c>
      <c r="B9" s="14"/>
      <c r="C9" s="16"/>
      <c r="D9" s="16"/>
      <c r="E9" s="16">
        <v>206834.35</v>
      </c>
      <c r="F9" s="16">
        <v>1974952.72</v>
      </c>
      <c r="G9" s="16"/>
      <c r="H9" s="16">
        <v>405841.8</v>
      </c>
      <c r="I9" s="16"/>
      <c r="J9" s="16"/>
      <c r="K9" s="16"/>
      <c r="L9" s="16"/>
      <c r="M9" s="16"/>
      <c r="N9" s="16"/>
      <c r="O9" s="15">
        <f aca="true" t="shared" si="0" ref="O9:O27">SUM(C9:N9)</f>
        <v>2587628.8699999996</v>
      </c>
    </row>
    <row r="10" spans="1:15" ht="12.75">
      <c r="A10" s="4">
        <v>5</v>
      </c>
      <c r="B10" s="14"/>
      <c r="C10" s="16">
        <v>53703.67</v>
      </c>
      <c r="D10" s="16"/>
      <c r="E10" s="16"/>
      <c r="F10" s="16"/>
      <c r="G10" s="16"/>
      <c r="H10" s="16"/>
      <c r="I10" s="16"/>
      <c r="J10" s="16">
        <v>109606.01</v>
      </c>
      <c r="K10" s="16"/>
      <c r="L10" s="16"/>
      <c r="M10" s="16"/>
      <c r="N10" s="16"/>
      <c r="O10" s="15">
        <f t="shared" si="0"/>
        <v>163309.68</v>
      </c>
    </row>
    <row r="11" spans="1:15" ht="12.75">
      <c r="A11" s="4">
        <v>6</v>
      </c>
      <c r="B11" s="14"/>
      <c r="C11" s="16">
        <v>3698341.09</v>
      </c>
      <c r="D11" s="16"/>
      <c r="E11" s="16">
        <v>100000</v>
      </c>
      <c r="F11" s="16"/>
      <c r="G11" s="16"/>
      <c r="H11" s="16"/>
      <c r="I11" s="16"/>
      <c r="J11" s="16"/>
      <c r="K11" s="16"/>
      <c r="L11" s="16"/>
      <c r="M11" s="16"/>
      <c r="N11" s="16"/>
      <c r="O11" s="15">
        <f t="shared" si="0"/>
        <v>3798341.09</v>
      </c>
    </row>
    <row r="12" spans="1:15" ht="12.75">
      <c r="A12" s="4">
        <v>7</v>
      </c>
      <c r="B12" s="14"/>
      <c r="C12" s="16"/>
      <c r="D12" s="16">
        <v>500000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5">
        <f t="shared" si="0"/>
        <v>500000</v>
      </c>
    </row>
    <row r="13" spans="1:15" ht="12.75">
      <c r="A13" s="4">
        <v>8</v>
      </c>
      <c r="B13" s="14"/>
      <c r="C13" s="16">
        <v>1782482</v>
      </c>
      <c r="D13" s="16"/>
      <c r="E13" s="16">
        <v>539551.2</v>
      </c>
      <c r="F13" s="16"/>
      <c r="G13" s="16"/>
      <c r="H13" s="16">
        <v>839925</v>
      </c>
      <c r="I13" s="16"/>
      <c r="J13" s="16">
        <v>639128.7</v>
      </c>
      <c r="K13" s="16">
        <v>450438.39</v>
      </c>
      <c r="L13" s="16"/>
      <c r="M13" s="16"/>
      <c r="N13" s="16"/>
      <c r="O13" s="15">
        <f t="shared" si="0"/>
        <v>4251525.29</v>
      </c>
    </row>
    <row r="14" spans="1:15" ht="12.75">
      <c r="A14" s="4">
        <v>9</v>
      </c>
      <c r="B14" s="14"/>
      <c r="C14" s="16">
        <v>150000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>
        <f t="shared" si="0"/>
        <v>150000</v>
      </c>
    </row>
    <row r="15" spans="1:15" ht="12.75">
      <c r="A15" s="4">
        <v>10</v>
      </c>
      <c r="B15" s="14"/>
      <c r="C15" s="16"/>
      <c r="D15" s="16"/>
      <c r="E15" s="16"/>
      <c r="F15" s="16"/>
      <c r="G15" s="16"/>
      <c r="H15" s="16"/>
      <c r="I15" s="16"/>
      <c r="J15" s="16"/>
      <c r="K15" s="16">
        <v>30040.33</v>
      </c>
      <c r="L15" s="16">
        <v>2015265.79</v>
      </c>
      <c r="M15" s="16"/>
      <c r="N15" s="16"/>
      <c r="O15" s="15">
        <f t="shared" si="0"/>
        <v>2045306.12</v>
      </c>
    </row>
    <row r="16" spans="1:15" ht="12.75">
      <c r="A16" s="4">
        <v>11</v>
      </c>
      <c r="B16" s="14"/>
      <c r="C16" s="16"/>
      <c r="D16" s="16">
        <v>90240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>
        <f t="shared" si="0"/>
        <v>90240</v>
      </c>
    </row>
    <row r="17" spans="1:15" ht="12.75">
      <c r="A17" s="4">
        <v>12</v>
      </c>
      <c r="B17" s="14"/>
      <c r="C17" s="16">
        <v>4294.64</v>
      </c>
      <c r="D17" s="16">
        <v>4333.77</v>
      </c>
      <c r="E17" s="16"/>
      <c r="F17" s="16">
        <v>3765.74</v>
      </c>
      <c r="G17" s="16">
        <v>3730.03</v>
      </c>
      <c r="H17" s="16">
        <v>3731.26</v>
      </c>
      <c r="I17" s="16">
        <v>3830.82</v>
      </c>
      <c r="J17" s="16">
        <v>3723.81</v>
      </c>
      <c r="K17" s="16"/>
      <c r="L17" s="16">
        <v>5867.78</v>
      </c>
      <c r="M17" s="16"/>
      <c r="N17" s="16"/>
      <c r="O17" s="15">
        <f t="shared" si="0"/>
        <v>33277.850000000006</v>
      </c>
    </row>
    <row r="18" spans="1:15" ht="12.75">
      <c r="A18" s="4">
        <v>13</v>
      </c>
      <c r="B18" s="14"/>
      <c r="C18" s="16">
        <v>22031.6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>
        <f t="shared" si="0"/>
        <v>22031.6</v>
      </c>
    </row>
    <row r="19" spans="1:15" ht="12.75">
      <c r="A19" s="4">
        <v>14</v>
      </c>
      <c r="B19" s="14"/>
      <c r="C19" s="16">
        <v>202450.85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>
        <f t="shared" si="0"/>
        <v>202450.85</v>
      </c>
    </row>
    <row r="20" spans="1:15" ht="12.75">
      <c r="A20" s="4">
        <v>15</v>
      </c>
      <c r="B20" s="14"/>
      <c r="C20" s="16"/>
      <c r="D20" s="16">
        <v>1020472.75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>
        <f t="shared" si="0"/>
        <v>1020472.75</v>
      </c>
    </row>
    <row r="21" spans="1:15" ht="12.75">
      <c r="A21" s="4">
        <v>16</v>
      </c>
      <c r="B21" s="14"/>
      <c r="C21" s="16"/>
      <c r="D21" s="16">
        <v>174784.61</v>
      </c>
      <c r="E21" s="16"/>
      <c r="F21" s="16"/>
      <c r="G21" s="16"/>
      <c r="H21" s="16"/>
      <c r="I21" s="16">
        <v>190646.2</v>
      </c>
      <c r="J21" s="16"/>
      <c r="K21" s="16"/>
      <c r="L21" s="16"/>
      <c r="M21" s="16"/>
      <c r="N21" s="16"/>
      <c r="O21" s="15">
        <f t="shared" si="0"/>
        <v>365430.81</v>
      </c>
    </row>
    <row r="22" spans="1:15" ht="12.75">
      <c r="A22" s="4">
        <v>17</v>
      </c>
      <c r="B22" s="14"/>
      <c r="C22" s="16"/>
      <c r="D22" s="16"/>
      <c r="E22" s="16">
        <v>202643.75</v>
      </c>
      <c r="F22" s="16"/>
      <c r="G22" s="16"/>
      <c r="H22" s="16"/>
      <c r="I22" s="16"/>
      <c r="J22" s="16"/>
      <c r="K22" s="16">
        <v>65619.08</v>
      </c>
      <c r="L22" s="16">
        <v>81471.25</v>
      </c>
      <c r="M22" s="16"/>
      <c r="N22" s="16"/>
      <c r="O22" s="15">
        <f t="shared" si="0"/>
        <v>349734.08</v>
      </c>
    </row>
    <row r="23" spans="1:15" ht="12.75">
      <c r="A23" s="4">
        <v>18</v>
      </c>
      <c r="B23" s="14"/>
      <c r="C23" s="16"/>
      <c r="D23" s="16"/>
      <c r="E23" s="16"/>
      <c r="F23" s="16"/>
      <c r="G23" s="16">
        <v>36000</v>
      </c>
      <c r="H23" s="16"/>
      <c r="I23" s="16"/>
      <c r="J23" s="16"/>
      <c r="K23" s="16"/>
      <c r="L23" s="16"/>
      <c r="M23" s="16"/>
      <c r="N23" s="16"/>
      <c r="O23" s="15">
        <f t="shared" si="0"/>
        <v>36000</v>
      </c>
    </row>
    <row r="24" spans="1:15" ht="12.75">
      <c r="A24" s="4">
        <v>19</v>
      </c>
      <c r="B24" s="14"/>
      <c r="C24" s="16"/>
      <c r="D24" s="16"/>
      <c r="E24" s="16"/>
      <c r="F24" s="16"/>
      <c r="G24" s="16"/>
      <c r="H24" s="16"/>
      <c r="I24" s="16">
        <v>1373446</v>
      </c>
      <c r="J24" s="16"/>
      <c r="K24" s="16"/>
      <c r="L24" s="16">
        <v>3483315</v>
      </c>
      <c r="M24" s="16"/>
      <c r="N24" s="16"/>
      <c r="O24" s="15">
        <f t="shared" si="0"/>
        <v>4856761</v>
      </c>
    </row>
    <row r="25" spans="1:15" ht="12.75">
      <c r="A25" s="4">
        <v>20</v>
      </c>
      <c r="B25" s="14"/>
      <c r="C25" s="16"/>
      <c r="D25" s="16"/>
      <c r="E25" s="16"/>
      <c r="F25" s="16"/>
      <c r="G25" s="16"/>
      <c r="H25" s="16"/>
      <c r="I25" s="16">
        <v>10000</v>
      </c>
      <c r="J25" s="16"/>
      <c r="K25" s="16"/>
      <c r="L25" s="16"/>
      <c r="M25" s="16"/>
      <c r="N25" s="16"/>
      <c r="O25" s="15">
        <f t="shared" si="0"/>
        <v>10000</v>
      </c>
    </row>
    <row r="26" spans="1:15" ht="12.75">
      <c r="A26" s="4">
        <v>21</v>
      </c>
      <c r="B26" s="14"/>
      <c r="C26" s="16"/>
      <c r="D26" s="16"/>
      <c r="E26" s="16"/>
      <c r="F26" s="16"/>
      <c r="G26" s="16"/>
      <c r="H26" s="16"/>
      <c r="I26" s="16">
        <v>367322.79</v>
      </c>
      <c r="J26" s="16"/>
      <c r="K26" s="16">
        <v>1321890.51</v>
      </c>
      <c r="L26" s="16"/>
      <c r="M26" s="16"/>
      <c r="N26" s="16"/>
      <c r="O26" s="15">
        <f t="shared" si="0"/>
        <v>1689213.3</v>
      </c>
    </row>
    <row r="27" spans="1:15" ht="12.75">
      <c r="A27" s="4">
        <v>22</v>
      </c>
      <c r="B27" s="14"/>
      <c r="C27" s="16"/>
      <c r="D27" s="16"/>
      <c r="E27" s="16"/>
      <c r="F27" s="16"/>
      <c r="G27" s="16"/>
      <c r="H27" s="16"/>
      <c r="I27" s="16"/>
      <c r="J27" s="16">
        <v>50000</v>
      </c>
      <c r="K27" s="16"/>
      <c r="L27" s="16"/>
      <c r="M27" s="16"/>
      <c r="N27" s="16"/>
      <c r="O27" s="15">
        <f t="shared" si="0"/>
        <v>50000</v>
      </c>
    </row>
    <row r="28" spans="1:15" ht="12.75">
      <c r="A28" s="4" t="s">
        <v>123</v>
      </c>
      <c r="B28" s="4"/>
      <c r="C28" s="6">
        <f>SUM(C6:C27)</f>
        <v>7813587.219999999</v>
      </c>
      <c r="D28" s="6">
        <f aca="true" t="shared" si="1" ref="D28:O28">SUM(D6:D27)</f>
        <v>2274114.98</v>
      </c>
      <c r="E28" s="6">
        <f t="shared" si="1"/>
        <v>1049029.2999999998</v>
      </c>
      <c r="F28" s="6">
        <f t="shared" si="1"/>
        <v>3769314.9400000004</v>
      </c>
      <c r="G28" s="6">
        <f t="shared" si="1"/>
        <v>90433.42</v>
      </c>
      <c r="H28" s="6">
        <f t="shared" si="1"/>
        <v>2983944.9699999997</v>
      </c>
      <c r="I28" s="6">
        <f t="shared" si="1"/>
        <v>1945245.81</v>
      </c>
      <c r="J28" s="6">
        <f t="shared" si="1"/>
        <v>802458.52</v>
      </c>
      <c r="K28" s="6">
        <f t="shared" si="1"/>
        <v>1867988.31</v>
      </c>
      <c r="L28" s="6">
        <f t="shared" si="1"/>
        <v>5585919.82</v>
      </c>
      <c r="M28" s="6"/>
      <c r="N28" s="6"/>
      <c r="O28" s="6">
        <f t="shared" si="1"/>
        <v>28182037.290000003</v>
      </c>
    </row>
    <row r="29" spans="1:15" ht="12.75">
      <c r="A29" s="4" t="s">
        <v>124</v>
      </c>
      <c r="B29" s="4">
        <v>138</v>
      </c>
      <c r="C29" s="6">
        <f>C28/$B$29</f>
        <v>56620.1972463768</v>
      </c>
      <c r="D29" s="6">
        <f aca="true" t="shared" si="2" ref="D29:O29">D28/$B$29</f>
        <v>16479.094057971015</v>
      </c>
      <c r="E29" s="6">
        <f t="shared" si="2"/>
        <v>7601.6615942028975</v>
      </c>
      <c r="F29" s="6">
        <f t="shared" si="2"/>
        <v>27313.876376811597</v>
      </c>
      <c r="G29" s="6">
        <f t="shared" si="2"/>
        <v>655.3146376811594</v>
      </c>
      <c r="H29" s="6">
        <f t="shared" si="2"/>
        <v>21622.78963768116</v>
      </c>
      <c r="I29" s="6">
        <f t="shared" si="2"/>
        <v>14095.984130434783</v>
      </c>
      <c r="J29" s="6">
        <f t="shared" si="2"/>
        <v>5814.916811594203</v>
      </c>
      <c r="K29" s="6">
        <f t="shared" si="2"/>
        <v>13536.147173913045</v>
      </c>
      <c r="L29" s="6">
        <f t="shared" si="2"/>
        <v>40477.67985507246</v>
      </c>
      <c r="M29" s="6">
        <f t="shared" si="2"/>
        <v>0</v>
      </c>
      <c r="N29" s="6">
        <f t="shared" si="2"/>
        <v>0</v>
      </c>
      <c r="O29" s="38">
        <f t="shared" si="2"/>
        <v>204217.66152173915</v>
      </c>
    </row>
    <row r="30" spans="1:15" ht="12.75">
      <c r="A30" s="4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</row>
    <row r="31" spans="1:15" ht="12.75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</row>
    <row r="32" spans="1:15" ht="12.75">
      <c r="A32" s="4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/>
    </row>
    <row r="33" spans="1:15" ht="12.75">
      <c r="A33" s="4"/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ht="12.75">
      <c r="A34" s="4"/>
      <c r="B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ht="13.5" thickBot="1">
      <c r="A35" s="4"/>
      <c r="B35" s="4"/>
      <c r="C35" s="7">
        <f>SUM(C6:C34)</f>
        <v>15683794.637246374</v>
      </c>
      <c r="D35" s="7">
        <f>SUM(D6:D34)</f>
        <v>4564709.054057971</v>
      </c>
      <c r="E35" s="7">
        <f aca="true" t="shared" si="3" ref="E35:N35">SUM(E6:E34)</f>
        <v>2105660.2615942024</v>
      </c>
      <c r="F35" s="7">
        <f t="shared" si="3"/>
        <v>7565943.756376812</v>
      </c>
      <c r="G35" s="7">
        <f t="shared" si="3"/>
        <v>181522.15463768115</v>
      </c>
      <c r="H35" s="7">
        <f t="shared" si="3"/>
        <v>5989512.729637681</v>
      </c>
      <c r="I35" s="7">
        <f t="shared" si="3"/>
        <v>3904587.604130435</v>
      </c>
      <c r="J35" s="7">
        <f t="shared" si="3"/>
        <v>1610731.9568115943</v>
      </c>
      <c r="K35" s="7">
        <f t="shared" si="3"/>
        <v>3749512.7671739133</v>
      </c>
      <c r="L35" s="7">
        <f t="shared" si="3"/>
        <v>11212317.319855073</v>
      </c>
      <c r="M35" s="7">
        <f t="shared" si="3"/>
        <v>0</v>
      </c>
      <c r="N35" s="7">
        <f t="shared" si="3"/>
        <v>0</v>
      </c>
      <c r="O35" s="8">
        <f>SUM(O6:O27)</f>
        <v>28182037.290000003</v>
      </c>
    </row>
    <row r="36" spans="3:15" ht="13.5" thickTop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</row>
    <row r="37" spans="3:15" ht="12.7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zoomScale="60" zoomScalePageLayoutView="0" workbookViewId="0" topLeftCell="A1">
      <selection activeCell="D16" sqref="D16"/>
    </sheetView>
  </sheetViews>
  <sheetFormatPr defaultColWidth="9.140625" defaultRowHeight="12.75"/>
  <cols>
    <col min="1" max="1" width="2.8515625" style="0" customWidth="1"/>
    <col min="2" max="2" width="9.421875" style="0" customWidth="1"/>
    <col min="3" max="3" width="28.57421875" style="0" bestFit="1" customWidth="1"/>
    <col min="4" max="4" width="15.28125" style="0" customWidth="1"/>
    <col min="5" max="5" width="2.8515625" style="0" customWidth="1"/>
    <col min="6" max="6" width="12.8515625" style="0" bestFit="1" customWidth="1"/>
    <col min="7" max="7" width="22.421875" style="0" customWidth="1"/>
    <col min="8" max="8" width="17.57421875" style="0" customWidth="1"/>
    <col min="9" max="9" width="2.28125" style="0" customWidth="1"/>
    <col min="10" max="10" width="9.28125" style="0" bestFit="1" customWidth="1"/>
    <col min="11" max="11" width="16.57421875" style="0" customWidth="1"/>
    <col min="12" max="12" width="15.00390625" style="0" customWidth="1"/>
    <col min="13" max="13" width="3.421875" style="0" customWidth="1"/>
    <col min="14" max="14" width="16.7109375" style="0" customWidth="1"/>
    <col min="22" max="22" width="9.8515625" style="0" bestFit="1" customWidth="1"/>
  </cols>
  <sheetData>
    <row r="1" spans="2:14" ht="18">
      <c r="B1" s="39"/>
      <c r="C1" s="39"/>
      <c r="D1" s="39"/>
      <c r="E1" s="39"/>
      <c r="F1" s="39" t="s">
        <v>237</v>
      </c>
      <c r="G1" s="39"/>
      <c r="H1" s="39"/>
      <c r="I1" s="39"/>
      <c r="J1" s="39"/>
      <c r="K1" s="39"/>
      <c r="L1" s="39"/>
      <c r="M1" s="39"/>
      <c r="N1" s="39"/>
    </row>
    <row r="2" spans="2:14" ht="18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8.75" thickBot="1">
      <c r="B3" s="40">
        <v>2009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8">
      <c r="A4" s="35"/>
      <c r="B4" s="41"/>
      <c r="C4" s="42" t="s">
        <v>171</v>
      </c>
      <c r="D4" s="43"/>
      <c r="E4" s="43"/>
      <c r="F4" s="44"/>
      <c r="G4" s="39"/>
      <c r="H4" s="39"/>
      <c r="I4" s="39"/>
      <c r="J4" s="39"/>
      <c r="K4" s="39"/>
      <c r="L4" s="39"/>
      <c r="M4" s="39"/>
      <c r="N4" s="39"/>
    </row>
    <row r="5" spans="1:14" ht="18">
      <c r="A5" s="35"/>
      <c r="B5" s="45"/>
      <c r="C5" s="46" t="s">
        <v>280</v>
      </c>
      <c r="D5" s="47"/>
      <c r="E5" s="47"/>
      <c r="F5" s="48"/>
      <c r="G5" s="39"/>
      <c r="H5" s="39"/>
      <c r="I5" s="39"/>
      <c r="J5" s="39"/>
      <c r="K5" s="39"/>
      <c r="L5" s="39"/>
      <c r="M5" s="39"/>
      <c r="N5" s="39"/>
    </row>
    <row r="6" spans="1:14" ht="18">
      <c r="A6" s="35"/>
      <c r="B6" s="49" t="s">
        <v>55</v>
      </c>
      <c r="C6" s="47"/>
      <c r="D6" s="46" t="s">
        <v>185</v>
      </c>
      <c r="E6" s="46"/>
      <c r="F6" s="50" t="s">
        <v>186</v>
      </c>
      <c r="G6" s="39"/>
      <c r="H6" s="39"/>
      <c r="I6" s="39"/>
      <c r="J6" s="39"/>
      <c r="K6" s="39"/>
      <c r="L6" s="39"/>
      <c r="M6" s="39"/>
      <c r="N6" s="39"/>
    </row>
    <row r="7" spans="1:14" ht="18">
      <c r="A7" s="35"/>
      <c r="B7" s="49" t="s">
        <v>188</v>
      </c>
      <c r="C7" s="47" t="s">
        <v>182</v>
      </c>
      <c r="D7" s="51">
        <f>'09 HOH VILLAGE BUDGET'!D17</f>
        <v>491350.0274761905</v>
      </c>
      <c r="E7" s="47"/>
      <c r="F7" s="52">
        <f>D7/12</f>
        <v>40945.835623015875</v>
      </c>
      <c r="G7" s="53"/>
      <c r="H7" s="53"/>
      <c r="I7" s="39"/>
      <c r="J7" s="39"/>
      <c r="K7" s="39"/>
      <c r="L7" s="39"/>
      <c r="M7" s="39"/>
      <c r="N7" s="39"/>
    </row>
    <row r="8" spans="1:14" ht="18">
      <c r="A8" s="35"/>
      <c r="B8" s="49"/>
      <c r="C8" s="47"/>
      <c r="D8" s="51"/>
      <c r="E8" s="47"/>
      <c r="F8" s="52"/>
      <c r="G8" s="39"/>
      <c r="H8" s="39"/>
      <c r="I8" s="39"/>
      <c r="J8" s="39"/>
      <c r="K8" s="39"/>
      <c r="L8" s="39"/>
      <c r="M8" s="39"/>
      <c r="N8" s="39"/>
    </row>
    <row r="9" spans="1:14" ht="18">
      <c r="A9" s="35"/>
      <c r="B9" s="49" t="s">
        <v>189</v>
      </c>
      <c r="C9" s="47" t="s">
        <v>183</v>
      </c>
      <c r="D9" s="51">
        <f>'09 HOH SCHOOL BUDGET'!D17</f>
        <v>202289.66571428574</v>
      </c>
      <c r="E9" s="47"/>
      <c r="F9" s="52">
        <f>D9/12</f>
        <v>16857.472142857147</v>
      </c>
      <c r="G9" s="53"/>
      <c r="H9" s="39"/>
      <c r="I9" s="39"/>
      <c r="J9" s="39"/>
      <c r="K9" s="39"/>
      <c r="L9" s="39"/>
      <c r="M9" s="39"/>
      <c r="N9" s="39"/>
    </row>
    <row r="10" spans="1:14" ht="18">
      <c r="A10" s="35"/>
      <c r="B10" s="49"/>
      <c r="C10" s="47"/>
      <c r="D10" s="51"/>
      <c r="E10" s="47"/>
      <c r="F10" s="52"/>
      <c r="G10" s="39"/>
      <c r="H10" s="39"/>
      <c r="I10" s="39"/>
      <c r="J10" s="39"/>
      <c r="K10" s="39"/>
      <c r="L10" s="39"/>
      <c r="M10" s="39"/>
      <c r="N10" s="39"/>
    </row>
    <row r="11" spans="1:14" ht="18">
      <c r="A11" s="35"/>
      <c r="B11" s="49" t="s">
        <v>190</v>
      </c>
      <c r="C11" s="47" t="s">
        <v>184</v>
      </c>
      <c r="D11" s="51">
        <f>'09 HOH FARM BUDGET'!C15</f>
        <v>89783.20857142856</v>
      </c>
      <c r="E11" s="47"/>
      <c r="F11" s="52">
        <f>D11/12</f>
        <v>7481.934047619047</v>
      </c>
      <c r="G11" s="39"/>
      <c r="H11" s="39"/>
      <c r="I11" s="39"/>
      <c r="J11" s="39"/>
      <c r="K11" s="39"/>
      <c r="L11" s="39"/>
      <c r="M11" s="39"/>
      <c r="N11" s="39"/>
    </row>
    <row r="12" spans="1:14" ht="18">
      <c r="A12" s="35"/>
      <c r="B12" s="49"/>
      <c r="C12" s="47"/>
      <c r="D12" s="51"/>
      <c r="E12" s="47"/>
      <c r="F12" s="52"/>
      <c r="G12" s="39"/>
      <c r="H12" s="39"/>
      <c r="I12" s="39"/>
      <c r="J12" s="39"/>
      <c r="K12" s="39"/>
      <c r="L12" s="39"/>
      <c r="M12" s="39"/>
      <c r="N12" s="39"/>
    </row>
    <row r="13" spans="1:14" ht="18.75" thickBot="1">
      <c r="A13" s="35"/>
      <c r="B13" s="49" t="s">
        <v>220</v>
      </c>
      <c r="C13" s="51" t="s">
        <v>222</v>
      </c>
      <c r="D13" s="51">
        <f>D32+H31+L26</f>
        <v>66395.54000000001</v>
      </c>
      <c r="E13" s="47"/>
      <c r="F13" s="52"/>
      <c r="G13" s="39"/>
      <c r="H13" s="39"/>
      <c r="I13" s="39"/>
      <c r="J13" s="39"/>
      <c r="K13" s="39"/>
      <c r="L13" s="39"/>
      <c r="M13" s="39"/>
      <c r="N13" s="39"/>
    </row>
    <row r="14" spans="1:14" ht="22.5" customHeight="1" thickBot="1">
      <c r="A14" s="35"/>
      <c r="B14" s="54"/>
      <c r="C14" s="55" t="s">
        <v>187</v>
      </c>
      <c r="D14" s="56">
        <f>SUM(D7:D11)</f>
        <v>783422.9017619047</v>
      </c>
      <c r="E14" s="55"/>
      <c r="F14" s="57">
        <f>SUM(F7:F13)</f>
        <v>65285.241813492066</v>
      </c>
      <c r="G14" s="39"/>
      <c r="H14" s="39"/>
      <c r="I14" s="39"/>
      <c r="J14" s="39"/>
      <c r="K14" s="39"/>
      <c r="L14" s="39"/>
      <c r="M14" s="39"/>
      <c r="N14" s="39"/>
    </row>
    <row r="15" spans="1:14" ht="18">
      <c r="A15" s="35"/>
      <c r="B15" s="39"/>
      <c r="C15" s="39" t="s">
        <v>223</v>
      </c>
      <c r="D15" s="53">
        <f>D14-D13</f>
        <v>717027.3617619047</v>
      </c>
      <c r="E15" s="39"/>
      <c r="F15" s="53">
        <f>D15/12</f>
        <v>59752.28014682539</v>
      </c>
      <c r="G15" s="39"/>
      <c r="H15" s="39"/>
      <c r="I15" s="39"/>
      <c r="J15" s="39"/>
      <c r="K15" s="39"/>
      <c r="L15" s="39"/>
      <c r="M15" s="39"/>
      <c r="N15" s="39"/>
    </row>
    <row r="16" spans="1:14" ht="18">
      <c r="A16" s="35"/>
      <c r="B16" s="39"/>
      <c r="C16" s="39" t="s">
        <v>224</v>
      </c>
      <c r="D16" s="53">
        <f>D14/650</f>
        <v>1205.2660027106226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8">
      <c r="A17" s="35"/>
      <c r="B17" s="39"/>
      <c r="C17" s="39"/>
      <c r="D17" s="53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6" ht="18.75">
      <c r="A18" s="36"/>
      <c r="B18" s="58"/>
      <c r="C18" s="58"/>
      <c r="D18" s="58"/>
      <c r="E18" s="59"/>
      <c r="F18" s="59"/>
      <c r="G18" s="60"/>
      <c r="H18" s="60"/>
      <c r="I18" s="60"/>
      <c r="J18" s="59"/>
      <c r="K18" s="59"/>
      <c r="L18" s="59"/>
      <c r="M18" s="59"/>
      <c r="N18" s="59"/>
      <c r="O18" s="17"/>
      <c r="P18" s="17"/>
    </row>
    <row r="19" spans="1:16" ht="18.75">
      <c r="A19" s="36"/>
      <c r="B19" s="61">
        <f>B3</f>
        <v>2009</v>
      </c>
      <c r="C19" s="62" t="s">
        <v>171</v>
      </c>
      <c r="D19" s="59"/>
      <c r="E19" s="59"/>
      <c r="F19" s="63">
        <f>B3</f>
        <v>2009</v>
      </c>
      <c r="G19" s="64" t="s">
        <v>146</v>
      </c>
      <c r="H19" s="64"/>
      <c r="I19" s="60"/>
      <c r="J19" s="63">
        <f>B3</f>
        <v>2009</v>
      </c>
      <c r="K19" s="64" t="s">
        <v>162</v>
      </c>
      <c r="L19" s="64"/>
      <c r="M19" s="59"/>
      <c r="N19" s="59"/>
      <c r="O19" s="17"/>
      <c r="P19" s="17"/>
    </row>
    <row r="20" spans="1:16" ht="18">
      <c r="A20" s="36"/>
      <c r="B20" s="61"/>
      <c r="C20" s="65" t="s">
        <v>172</v>
      </c>
      <c r="D20" s="59"/>
      <c r="E20" s="59"/>
      <c r="F20" s="66"/>
      <c r="G20" s="63" t="s">
        <v>147</v>
      </c>
      <c r="H20" s="66"/>
      <c r="I20" s="59"/>
      <c r="J20" s="66"/>
      <c r="K20" s="63" t="s">
        <v>181</v>
      </c>
      <c r="L20" s="66"/>
      <c r="M20" s="59"/>
      <c r="N20" s="59"/>
      <c r="O20" s="17"/>
      <c r="P20" s="17"/>
    </row>
    <row r="21" spans="1:16" ht="18">
      <c r="A21" s="36"/>
      <c r="B21" s="61"/>
      <c r="C21" s="67" t="s">
        <v>194</v>
      </c>
      <c r="D21" s="59"/>
      <c r="E21" s="59"/>
      <c r="F21" s="66"/>
      <c r="G21" s="63"/>
      <c r="H21" s="66"/>
      <c r="I21" s="59"/>
      <c r="J21" s="68"/>
      <c r="K21" s="63"/>
      <c r="L21" s="69"/>
      <c r="M21" s="59"/>
      <c r="N21" s="59"/>
      <c r="O21" s="17"/>
      <c r="P21" s="17"/>
    </row>
    <row r="22" spans="1:16" ht="18.75" thickBot="1">
      <c r="A22" s="36"/>
      <c r="B22" s="59"/>
      <c r="C22" s="59"/>
      <c r="D22" s="59"/>
      <c r="E22" s="61"/>
      <c r="F22" s="66"/>
      <c r="G22" s="63"/>
      <c r="H22" s="66"/>
      <c r="I22" s="70"/>
      <c r="J22" s="68"/>
      <c r="K22" s="63"/>
      <c r="L22" s="71"/>
      <c r="M22" s="72"/>
      <c r="N22" s="73"/>
      <c r="O22" s="19"/>
      <c r="P22" s="17"/>
    </row>
    <row r="23" spans="1:16" ht="18">
      <c r="A23" s="37"/>
      <c r="B23" s="74" t="s">
        <v>188</v>
      </c>
      <c r="C23" s="75" t="s">
        <v>126</v>
      </c>
      <c r="D23" s="76"/>
      <c r="E23" s="77"/>
      <c r="F23" s="74" t="s">
        <v>189</v>
      </c>
      <c r="G23" s="75" t="s">
        <v>174</v>
      </c>
      <c r="H23" s="78"/>
      <c r="I23" s="77"/>
      <c r="J23" s="74" t="s">
        <v>190</v>
      </c>
      <c r="K23" s="75" t="s">
        <v>178</v>
      </c>
      <c r="L23" s="79"/>
      <c r="M23" s="59"/>
      <c r="N23" s="80" t="s">
        <v>179</v>
      </c>
      <c r="O23" s="19"/>
      <c r="P23" s="17"/>
    </row>
    <row r="24" spans="1:16" ht="18">
      <c r="A24" s="37"/>
      <c r="B24" s="81" t="s">
        <v>144</v>
      </c>
      <c r="C24" s="61" t="s">
        <v>133</v>
      </c>
      <c r="D24" s="82" t="s">
        <v>127</v>
      </c>
      <c r="E24" s="77"/>
      <c r="F24" s="83" t="s">
        <v>144</v>
      </c>
      <c r="G24" s="61" t="s">
        <v>133</v>
      </c>
      <c r="H24" s="84" t="s">
        <v>127</v>
      </c>
      <c r="I24" s="70"/>
      <c r="J24" s="83" t="s">
        <v>144</v>
      </c>
      <c r="K24" s="62" t="s">
        <v>133</v>
      </c>
      <c r="L24" s="85" t="s">
        <v>127</v>
      </c>
      <c r="M24" s="59"/>
      <c r="N24" s="86" t="s">
        <v>180</v>
      </c>
      <c r="O24" s="19"/>
      <c r="P24" s="17"/>
    </row>
    <row r="25" spans="1:16" ht="18">
      <c r="A25" s="37"/>
      <c r="B25" s="83" t="s">
        <v>134</v>
      </c>
      <c r="C25" s="61" t="s">
        <v>4</v>
      </c>
      <c r="D25" s="87">
        <f>'09 HOH VILLAGE BUDGET'!D7</f>
        <v>37146.857142857145</v>
      </c>
      <c r="E25" s="77"/>
      <c r="F25" s="83" t="s">
        <v>148</v>
      </c>
      <c r="G25" s="61" t="s">
        <v>159</v>
      </c>
      <c r="H25" s="88">
        <f>'09 HOH SCHOOL BUDGET'!D7</f>
        <v>55264.5</v>
      </c>
      <c r="I25" s="77"/>
      <c r="J25" s="83" t="s">
        <v>163</v>
      </c>
      <c r="K25" s="61" t="s">
        <v>94</v>
      </c>
      <c r="L25" s="89">
        <f>'09 HOH FARM BUDGET'!C5</f>
        <v>65567.48857142856</v>
      </c>
      <c r="M25" s="72"/>
      <c r="N25" s="90"/>
      <c r="O25" s="19"/>
      <c r="P25" s="17"/>
    </row>
    <row r="26" spans="1:16" ht="18">
      <c r="A26" s="37"/>
      <c r="B26" s="83" t="s">
        <v>135</v>
      </c>
      <c r="C26" s="61" t="s">
        <v>128</v>
      </c>
      <c r="D26" s="87">
        <f>'09 HOH VILLAGE BUDGET'!D8</f>
        <v>78289.41</v>
      </c>
      <c r="E26" s="77"/>
      <c r="F26" s="83" t="s">
        <v>149</v>
      </c>
      <c r="G26" s="61" t="s">
        <v>160</v>
      </c>
      <c r="H26" s="88">
        <f>'09 HOH SCHOOL BUDGET'!D8</f>
        <v>36073.32</v>
      </c>
      <c r="I26" s="77"/>
      <c r="J26" s="83" t="s">
        <v>164</v>
      </c>
      <c r="K26" s="61" t="s">
        <v>51</v>
      </c>
      <c r="L26" s="89">
        <f>'09 HOH FARM BUDGET'!C6</f>
        <v>24215.72</v>
      </c>
      <c r="M26" s="72"/>
      <c r="N26" s="90"/>
      <c r="O26" s="20"/>
      <c r="P26" s="17"/>
    </row>
    <row r="27" spans="1:16" ht="18">
      <c r="A27" s="37"/>
      <c r="B27" s="83" t="s">
        <v>136</v>
      </c>
      <c r="C27" s="61" t="s">
        <v>42</v>
      </c>
      <c r="D27" s="87">
        <f>'09 HOH VILLAGE BUDGET'!D9</f>
        <v>15461.357142857143</v>
      </c>
      <c r="E27" s="77"/>
      <c r="F27" s="83" t="s">
        <v>150</v>
      </c>
      <c r="G27" s="61" t="s">
        <v>158</v>
      </c>
      <c r="H27" s="88">
        <f>'09 HOH SCHOOL BUDGET'!D9</f>
        <v>18694.82</v>
      </c>
      <c r="I27" s="77"/>
      <c r="J27" s="83" t="s">
        <v>166</v>
      </c>
      <c r="K27" s="61"/>
      <c r="L27" s="89">
        <v>0</v>
      </c>
      <c r="M27" s="72"/>
      <c r="N27" s="90"/>
      <c r="O27" s="19"/>
      <c r="P27" s="17"/>
    </row>
    <row r="28" spans="1:16" ht="18">
      <c r="A28" s="37"/>
      <c r="B28" s="83" t="s">
        <v>137</v>
      </c>
      <c r="C28" s="61" t="str">
        <f>'09 HOH VILLAGE BUDGET'!C10</f>
        <v>Utilities,Legal &amp; audit</v>
      </c>
      <c r="D28" s="87">
        <f>'09 HOH VILLAGE BUDGET'!D10</f>
        <v>20000</v>
      </c>
      <c r="E28" s="77"/>
      <c r="F28" s="83" t="s">
        <v>151</v>
      </c>
      <c r="G28" s="61" t="s">
        <v>83</v>
      </c>
      <c r="H28" s="88">
        <f>'09 HOH SCHOOL BUDGET'!D10</f>
        <v>3184</v>
      </c>
      <c r="I28" s="77"/>
      <c r="J28" s="83" t="s">
        <v>167</v>
      </c>
      <c r="K28" s="61"/>
      <c r="L28" s="89">
        <v>0</v>
      </c>
      <c r="M28" s="72"/>
      <c r="N28" s="90"/>
      <c r="O28" s="19"/>
      <c r="P28" s="17"/>
    </row>
    <row r="29" spans="1:16" ht="18">
      <c r="A29" s="37"/>
      <c r="B29" s="83" t="s">
        <v>138</v>
      </c>
      <c r="C29" s="61" t="s">
        <v>22</v>
      </c>
      <c r="D29" s="87">
        <f>'09 HOH VILLAGE BUDGET'!D11</f>
        <v>26997.42857142858</v>
      </c>
      <c r="E29" s="77"/>
      <c r="F29" s="83" t="s">
        <v>152</v>
      </c>
      <c r="G29" s="61" t="s">
        <v>225</v>
      </c>
      <c r="H29" s="88">
        <f>'09 HOH SCHOOL BUDGET'!D11</f>
        <v>81693.20571428572</v>
      </c>
      <c r="I29" s="77"/>
      <c r="J29" s="83" t="s">
        <v>168</v>
      </c>
      <c r="K29" s="61"/>
      <c r="L29" s="89">
        <v>0</v>
      </c>
      <c r="M29" s="72"/>
      <c r="N29" s="91"/>
      <c r="O29" s="19"/>
      <c r="P29" s="17"/>
    </row>
    <row r="30" spans="1:16" ht="18">
      <c r="A30" s="37"/>
      <c r="B30" s="83" t="s">
        <v>142</v>
      </c>
      <c r="C30" s="61" t="s">
        <v>50</v>
      </c>
      <c r="D30" s="87">
        <f>'09 HOH VILLAGE BUDGET'!D12</f>
        <v>142800</v>
      </c>
      <c r="E30" s="77"/>
      <c r="F30" s="83" t="s">
        <v>153</v>
      </c>
      <c r="G30" s="61" t="s">
        <v>88</v>
      </c>
      <c r="H30" s="88">
        <f>'09 HOH SCHOOL BUDGET'!D12</f>
        <v>2200</v>
      </c>
      <c r="I30" s="70"/>
      <c r="J30" s="83" t="s">
        <v>169</v>
      </c>
      <c r="K30" s="61"/>
      <c r="L30" s="89">
        <v>0</v>
      </c>
      <c r="M30" s="92"/>
      <c r="N30" s="93"/>
      <c r="O30" s="19"/>
      <c r="P30" s="17"/>
    </row>
    <row r="31" spans="1:16" ht="18">
      <c r="A31" s="37"/>
      <c r="B31" s="83" t="s">
        <v>140</v>
      </c>
      <c r="C31" s="61" t="s">
        <v>49</v>
      </c>
      <c r="D31" s="87">
        <f>'09 HOH VILLAGE BUDGET'!D13</f>
        <v>118789.53461904761</v>
      </c>
      <c r="E31" s="77"/>
      <c r="F31" s="83" t="s">
        <v>154</v>
      </c>
      <c r="G31" s="61" t="s">
        <v>51</v>
      </c>
      <c r="H31" s="88">
        <f>'09 HOH SCHOOL BUDGET'!D13</f>
        <v>5179.82</v>
      </c>
      <c r="I31" s="77"/>
      <c r="J31" s="83" t="s">
        <v>170</v>
      </c>
      <c r="K31" s="61"/>
      <c r="L31" s="89">
        <v>0</v>
      </c>
      <c r="M31" s="92"/>
      <c r="N31" s="93"/>
      <c r="O31" s="19"/>
      <c r="P31" s="17"/>
    </row>
    <row r="32" spans="1:16" ht="18">
      <c r="A32" s="37"/>
      <c r="B32" s="83" t="s">
        <v>141</v>
      </c>
      <c r="C32" s="61" t="s">
        <v>51</v>
      </c>
      <c r="D32" s="87">
        <f>'09 HOH VILLAGE BUDGET'!D14</f>
        <v>37000</v>
      </c>
      <c r="E32" s="77"/>
      <c r="F32" s="83" t="s">
        <v>155</v>
      </c>
      <c r="G32" s="70"/>
      <c r="H32" s="88">
        <v>0</v>
      </c>
      <c r="I32" s="77"/>
      <c r="J32" s="83" t="s">
        <v>175</v>
      </c>
      <c r="K32" s="70"/>
      <c r="L32" s="89"/>
      <c r="M32" s="94"/>
      <c r="N32" s="93"/>
      <c r="O32" s="19"/>
      <c r="P32" s="17"/>
    </row>
    <row r="33" spans="1:16" ht="18">
      <c r="A33" s="37"/>
      <c r="B33" s="83" t="s">
        <v>143</v>
      </c>
      <c r="C33" s="61" t="s">
        <v>52</v>
      </c>
      <c r="D33" s="87">
        <f>'09 HOH VILLAGE BUDGET'!D15</f>
        <v>1080</v>
      </c>
      <c r="E33" s="77"/>
      <c r="F33" s="83" t="s">
        <v>156</v>
      </c>
      <c r="G33" s="70"/>
      <c r="H33" s="88"/>
      <c r="I33" s="77"/>
      <c r="J33" s="83" t="s">
        <v>176</v>
      </c>
      <c r="K33" s="70"/>
      <c r="L33" s="89"/>
      <c r="M33" s="95"/>
      <c r="N33" s="93"/>
      <c r="O33" s="19"/>
      <c r="P33" s="17"/>
    </row>
    <row r="34" spans="1:16" ht="18.75" thickBot="1">
      <c r="A34" s="37"/>
      <c r="B34" s="83" t="s">
        <v>193</v>
      </c>
      <c r="C34" s="61" t="s">
        <v>129</v>
      </c>
      <c r="D34" s="87">
        <f>'09 HOH VILLAGE BUDGET'!D16</f>
        <v>13785.44</v>
      </c>
      <c r="E34" s="77"/>
      <c r="F34" s="83" t="s">
        <v>157</v>
      </c>
      <c r="G34" s="70"/>
      <c r="H34" s="88"/>
      <c r="I34" s="77"/>
      <c r="J34" s="83" t="s">
        <v>177</v>
      </c>
      <c r="K34" s="70"/>
      <c r="L34" s="89"/>
      <c r="M34" s="95"/>
      <c r="N34" s="93"/>
      <c r="O34" s="19"/>
      <c r="P34" s="17"/>
    </row>
    <row r="35" spans="1:16" ht="18">
      <c r="A35" s="37"/>
      <c r="B35" s="96"/>
      <c r="C35" s="97" t="s">
        <v>131</v>
      </c>
      <c r="D35" s="98">
        <f>SUM(D25:D34)</f>
        <v>491350.0274761905</v>
      </c>
      <c r="E35" s="77"/>
      <c r="F35" s="96"/>
      <c r="G35" s="97" t="s">
        <v>131</v>
      </c>
      <c r="H35" s="99">
        <f>SUM(H25:H34)</f>
        <v>202289.66571428574</v>
      </c>
      <c r="I35" s="77"/>
      <c r="J35" s="96"/>
      <c r="K35" s="97" t="s">
        <v>131</v>
      </c>
      <c r="L35" s="99">
        <f>SUM(L25:L34)</f>
        <v>89783.20857142856</v>
      </c>
      <c r="M35" s="95"/>
      <c r="N35" s="100">
        <f>D35+H35+L35</f>
        <v>783422.9017619047</v>
      </c>
      <c r="O35" s="19"/>
      <c r="P35" s="17"/>
    </row>
    <row r="36" spans="1:16" ht="18.75" thickBot="1">
      <c r="A36" s="37"/>
      <c r="B36" s="101"/>
      <c r="C36" s="102" t="s">
        <v>132</v>
      </c>
      <c r="D36" s="103">
        <f>D35/12</f>
        <v>40945.835623015875</v>
      </c>
      <c r="E36" s="77"/>
      <c r="F36" s="101"/>
      <c r="G36" s="102" t="s">
        <v>132</v>
      </c>
      <c r="H36" s="104">
        <f>H35/12</f>
        <v>16857.472142857147</v>
      </c>
      <c r="I36" s="77"/>
      <c r="J36" s="101"/>
      <c r="K36" s="102" t="s">
        <v>132</v>
      </c>
      <c r="L36" s="104">
        <f>L35/12</f>
        <v>7481.934047619047</v>
      </c>
      <c r="M36" s="95"/>
      <c r="N36" s="105">
        <f>D36+H36+L36</f>
        <v>65285.241813492066</v>
      </c>
      <c r="O36" s="19"/>
      <c r="P36" s="17"/>
    </row>
    <row r="37" spans="1:16" ht="18">
      <c r="A37" s="37"/>
      <c r="B37" s="59"/>
      <c r="C37" s="70" t="s">
        <v>221</v>
      </c>
      <c r="D37" s="70">
        <f>D35-D32</f>
        <v>454350.0274761905</v>
      </c>
      <c r="E37" s="77"/>
      <c r="F37" s="59"/>
      <c r="G37" s="70" t="s">
        <v>221</v>
      </c>
      <c r="H37" s="70">
        <f>H35-H31</f>
        <v>197109.84571428574</v>
      </c>
      <c r="I37" s="77"/>
      <c r="J37" s="77"/>
      <c r="K37" s="70" t="s">
        <v>221</v>
      </c>
      <c r="L37" s="70">
        <f>L35-L26</f>
        <v>65567.48857142856</v>
      </c>
      <c r="M37" s="95"/>
      <c r="N37" s="77"/>
      <c r="O37" s="19"/>
      <c r="P37" s="17"/>
    </row>
    <row r="38" spans="1:16" ht="18">
      <c r="A38" s="26"/>
      <c r="B38" s="59" t="s">
        <v>192</v>
      </c>
      <c r="C38" s="70" t="s">
        <v>191</v>
      </c>
      <c r="D38" s="77"/>
      <c r="E38" s="77"/>
      <c r="F38" s="59"/>
      <c r="G38" s="70" t="s">
        <v>191</v>
      </c>
      <c r="H38" s="59"/>
      <c r="I38" s="77"/>
      <c r="J38" s="77"/>
      <c r="K38" s="70" t="s">
        <v>191</v>
      </c>
      <c r="L38" s="95"/>
      <c r="M38" s="95"/>
      <c r="N38" s="77"/>
      <c r="O38" s="19"/>
      <c r="P38" s="17"/>
    </row>
    <row r="39" spans="1:16" ht="12.75">
      <c r="A39" s="26"/>
      <c r="B39" s="23"/>
      <c r="C39" s="20"/>
      <c r="D39" s="20"/>
      <c r="E39" s="19"/>
      <c r="F39" s="17"/>
      <c r="G39" s="22"/>
      <c r="H39" s="17"/>
      <c r="I39" s="19"/>
      <c r="J39" s="19"/>
      <c r="K39" s="22"/>
      <c r="L39" s="21"/>
      <c r="M39" s="21"/>
      <c r="N39" s="19"/>
      <c r="O39" s="19"/>
      <c r="P39" s="17"/>
    </row>
    <row r="40" spans="1:16" ht="12.75">
      <c r="A40" s="26"/>
      <c r="B40" s="17"/>
      <c r="C40" s="19"/>
      <c r="D40" s="19"/>
      <c r="E40" s="19"/>
      <c r="F40" s="17"/>
      <c r="G40" s="22"/>
      <c r="H40" s="17"/>
      <c r="I40" s="19"/>
      <c r="J40" s="19"/>
      <c r="K40" s="22"/>
      <c r="L40" s="21"/>
      <c r="M40" s="24"/>
      <c r="N40" s="19"/>
      <c r="O40" s="19"/>
      <c r="P40" s="17"/>
    </row>
    <row r="41" spans="1:16" ht="12.75">
      <c r="A41" s="26"/>
      <c r="B41" s="17"/>
      <c r="C41" s="19"/>
      <c r="D41" s="19"/>
      <c r="E41" s="30"/>
      <c r="F41" s="17"/>
      <c r="G41" s="22"/>
      <c r="H41" s="17"/>
      <c r="I41" s="19"/>
      <c r="J41" s="19"/>
      <c r="K41" s="22"/>
      <c r="L41" s="21"/>
      <c r="M41" s="21"/>
      <c r="N41" s="19"/>
      <c r="O41" s="19"/>
      <c r="P41" s="17"/>
    </row>
    <row r="42" spans="1:16" ht="12.75">
      <c r="A42" s="17"/>
      <c r="B42" s="17"/>
      <c r="C42" s="17"/>
      <c r="D42" s="17"/>
      <c r="E42" s="30"/>
      <c r="F42" s="17"/>
      <c r="G42" s="22"/>
      <c r="H42" s="17"/>
      <c r="I42" s="19"/>
      <c r="J42" s="19"/>
      <c r="K42" s="22"/>
      <c r="L42" s="21"/>
      <c r="M42" s="21"/>
      <c r="N42" s="19"/>
      <c r="O42" s="19"/>
      <c r="P42" s="17"/>
    </row>
    <row r="43" spans="1:16" ht="12.75">
      <c r="A43" s="25"/>
      <c r="B43" s="17"/>
      <c r="C43" s="17"/>
      <c r="D43" s="17"/>
      <c r="E43" s="30"/>
      <c r="F43" s="17"/>
      <c r="G43" s="22"/>
      <c r="H43" s="17"/>
      <c r="I43" s="19"/>
      <c r="J43" s="19"/>
      <c r="K43" s="22"/>
      <c r="L43" s="21"/>
      <c r="M43" s="21"/>
      <c r="N43" s="19"/>
      <c r="O43" s="19"/>
      <c r="P43" s="17"/>
    </row>
    <row r="44" spans="1:16" ht="12.75">
      <c r="A44" s="26"/>
      <c r="B44" s="17"/>
      <c r="C44" s="17"/>
      <c r="D44" s="17"/>
      <c r="E44" s="25"/>
      <c r="F44" s="17"/>
      <c r="G44" s="22"/>
      <c r="H44" s="17"/>
      <c r="I44" s="19"/>
      <c r="J44" s="19"/>
      <c r="K44" s="22"/>
      <c r="L44" s="21"/>
      <c r="M44" s="21"/>
      <c r="N44" s="19"/>
      <c r="O44" s="19"/>
      <c r="P44" s="17"/>
    </row>
    <row r="45" spans="1:16" ht="12.75">
      <c r="A45" s="26"/>
      <c r="B45" s="17"/>
      <c r="C45" s="19"/>
      <c r="D45" s="19"/>
      <c r="E45" s="26"/>
      <c r="F45" s="17"/>
      <c r="G45" s="22"/>
      <c r="H45" s="17"/>
      <c r="I45" s="19"/>
      <c r="J45" s="19"/>
      <c r="K45" s="22"/>
      <c r="L45" s="21"/>
      <c r="M45" s="21"/>
      <c r="N45" s="19"/>
      <c r="O45" s="31"/>
      <c r="P45" s="17"/>
    </row>
    <row r="46" spans="1:16" ht="12.75">
      <c r="A46" s="32"/>
      <c r="B46" s="17"/>
      <c r="C46" s="19"/>
      <c r="D46" s="19"/>
      <c r="E46" s="19"/>
      <c r="F46" s="17"/>
      <c r="G46" s="22"/>
      <c r="H46" s="17"/>
      <c r="I46" s="19"/>
      <c r="J46" s="19"/>
      <c r="K46" s="22"/>
      <c r="L46" s="21"/>
      <c r="M46" s="21"/>
      <c r="N46" s="19"/>
      <c r="O46" s="19"/>
      <c r="P46" s="17"/>
    </row>
    <row r="47" spans="1:16" ht="15.75">
      <c r="A47" s="26"/>
      <c r="B47" s="17"/>
      <c r="C47" s="19"/>
      <c r="D47" s="27"/>
      <c r="E47" s="19"/>
      <c r="F47" s="17"/>
      <c r="G47" s="22"/>
      <c r="H47" s="17"/>
      <c r="I47" s="19"/>
      <c r="J47" s="19"/>
      <c r="K47" s="22"/>
      <c r="L47" s="21"/>
      <c r="M47" s="21"/>
      <c r="N47" s="19"/>
      <c r="O47" s="19"/>
      <c r="P47" s="17"/>
    </row>
    <row r="48" spans="1:16" ht="12.75">
      <c r="A48" s="26"/>
      <c r="B48" s="17"/>
      <c r="C48" s="19"/>
      <c r="D48" s="29"/>
      <c r="E48" s="19"/>
      <c r="F48" s="17"/>
      <c r="G48" s="22"/>
      <c r="H48" s="17"/>
      <c r="I48" s="19"/>
      <c r="J48" s="19"/>
      <c r="K48" s="22"/>
      <c r="L48" s="21"/>
      <c r="M48" s="21"/>
      <c r="N48" s="19"/>
      <c r="O48" s="19"/>
      <c r="P48" s="17"/>
    </row>
    <row r="49" spans="1:16" ht="12.75">
      <c r="A49" s="25"/>
      <c r="B49" s="18"/>
      <c r="C49" s="29"/>
      <c r="D49" s="29"/>
      <c r="E49" s="19"/>
      <c r="F49" s="17"/>
      <c r="G49" s="22"/>
      <c r="H49" s="17"/>
      <c r="I49" s="19"/>
      <c r="J49" s="19"/>
      <c r="K49" s="22"/>
      <c r="L49" s="21"/>
      <c r="M49" s="21"/>
      <c r="N49" s="19"/>
      <c r="O49" s="19"/>
      <c r="P49" s="17"/>
    </row>
    <row r="50" spans="1:16" ht="12.75">
      <c r="A50" s="33"/>
      <c r="B50" s="23"/>
      <c r="C50" s="20"/>
      <c r="D50" s="29"/>
      <c r="E50" s="19"/>
      <c r="F50" s="17"/>
      <c r="G50" s="22"/>
      <c r="H50" s="17"/>
      <c r="I50" s="19"/>
      <c r="J50" s="19"/>
      <c r="K50" s="22"/>
      <c r="L50" s="21"/>
      <c r="M50" s="21"/>
      <c r="N50" s="19"/>
      <c r="O50" s="19"/>
      <c r="P50" s="17"/>
    </row>
    <row r="51" spans="1:16" ht="12.75">
      <c r="A51" s="33"/>
      <c r="B51" s="23"/>
      <c r="C51" s="20"/>
      <c r="D51" s="29"/>
      <c r="E51" s="19"/>
      <c r="F51" s="17"/>
      <c r="G51" s="22"/>
      <c r="H51" s="17"/>
      <c r="I51" s="19"/>
      <c r="J51" s="19"/>
      <c r="K51" s="22"/>
      <c r="L51" s="21"/>
      <c r="M51" s="21"/>
      <c r="N51" s="19"/>
      <c r="O51" s="19"/>
      <c r="P51" s="17"/>
    </row>
    <row r="52" spans="1:16" ht="12.75">
      <c r="A52" s="33"/>
      <c r="B52" s="23"/>
      <c r="C52" s="20"/>
      <c r="D52" s="29"/>
      <c r="E52" s="19"/>
      <c r="F52" s="17"/>
      <c r="G52" s="22"/>
      <c r="H52" s="17"/>
      <c r="I52" s="19"/>
      <c r="J52" s="19"/>
      <c r="K52" s="22"/>
      <c r="L52" s="21"/>
      <c r="M52" s="21"/>
      <c r="N52" s="19"/>
      <c r="O52" s="29"/>
      <c r="P52" s="17"/>
    </row>
    <row r="53" spans="1:16" ht="12.75">
      <c r="A53" s="26"/>
      <c r="B53" s="17"/>
      <c r="C53" s="19"/>
      <c r="D53" s="29"/>
      <c r="E53" s="19"/>
      <c r="F53" s="17"/>
      <c r="G53" s="22"/>
      <c r="H53" s="17"/>
      <c r="I53" s="19"/>
      <c r="J53" s="19"/>
      <c r="K53" s="22"/>
      <c r="L53" s="21"/>
      <c r="M53" s="21"/>
      <c r="N53" s="19"/>
      <c r="O53" s="19"/>
      <c r="P53" s="17"/>
    </row>
    <row r="54" spans="1:16" ht="12.75">
      <c r="A54" s="26"/>
      <c r="B54" s="17"/>
      <c r="C54" s="19"/>
      <c r="D54" s="29"/>
      <c r="E54" s="19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26"/>
      <c r="B55" s="17"/>
      <c r="C55" s="19"/>
      <c r="D55" s="29"/>
      <c r="E55" s="19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.75">
      <c r="A56" s="26"/>
      <c r="B56" s="17"/>
      <c r="C56" s="19"/>
      <c r="D56" s="29"/>
      <c r="E56" s="1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>
      <c r="A57" s="26"/>
      <c r="B57" s="17"/>
      <c r="C57" s="19"/>
      <c r="D57" s="29"/>
      <c r="E57" s="19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>
      <c r="A58" s="26"/>
      <c r="B58" s="17"/>
      <c r="C58" s="19"/>
      <c r="D58" s="29"/>
      <c r="E58" s="19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2.75">
      <c r="A59" s="26"/>
      <c r="B59" s="17"/>
      <c r="C59" s="19"/>
      <c r="D59" s="29"/>
      <c r="E59" s="19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>
      <c r="A60" s="26"/>
      <c r="B60" s="17"/>
      <c r="C60" s="19"/>
      <c r="D60" s="29"/>
      <c r="E60" s="19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2.75">
      <c r="A61" s="26"/>
      <c r="B61" s="17"/>
      <c r="C61" s="19"/>
      <c r="D61" s="29"/>
      <c r="E61" s="19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2.75">
      <c r="A62" s="26"/>
      <c r="B62" s="17"/>
      <c r="C62" s="19"/>
      <c r="D62" s="29"/>
      <c r="E62" s="19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2.75">
      <c r="A63" s="26"/>
      <c r="B63" s="17"/>
      <c r="C63" s="19"/>
      <c r="D63" s="29"/>
      <c r="E63" s="19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2.75">
      <c r="A64" s="26"/>
      <c r="B64" s="17"/>
      <c r="C64" s="19"/>
      <c r="D64" s="29"/>
      <c r="E64" s="19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2.75">
      <c r="A65" s="26"/>
      <c r="B65" s="17"/>
      <c r="C65" s="19"/>
      <c r="D65" s="29"/>
      <c r="E65" s="19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2.75">
      <c r="A66" s="26"/>
      <c r="B66" s="17"/>
      <c r="C66" s="19"/>
      <c r="D66" s="29"/>
      <c r="E66" s="19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2.75">
      <c r="A67" s="26"/>
      <c r="B67" s="17"/>
      <c r="C67" s="19"/>
      <c r="D67" s="29"/>
      <c r="E67" s="19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2.75">
      <c r="A68" s="26"/>
      <c r="B68" s="17"/>
      <c r="C68" s="19"/>
      <c r="D68" s="29"/>
      <c r="E68" s="19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>
      <c r="A69" s="26"/>
      <c r="B69" s="17"/>
      <c r="C69" s="19"/>
      <c r="D69" s="29"/>
      <c r="E69" s="19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2.75">
      <c r="A70" s="26"/>
      <c r="B70" s="17"/>
      <c r="C70" s="19"/>
      <c r="D70" s="29"/>
      <c r="E70" s="19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2.75">
      <c r="A71" s="26"/>
      <c r="B71" s="17"/>
      <c r="C71" s="19"/>
      <c r="D71" s="29"/>
      <c r="E71" s="19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2.75">
      <c r="A72" s="26"/>
      <c r="B72" s="17"/>
      <c r="C72" s="19"/>
      <c r="D72" s="29"/>
      <c r="E72" s="19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2.75">
      <c r="A73" s="26"/>
      <c r="B73" s="17"/>
      <c r="C73" s="19"/>
      <c r="D73" s="19"/>
      <c r="E73" s="19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2.75">
      <c r="A74" s="26"/>
      <c r="B74" s="17"/>
      <c r="C74" s="19"/>
      <c r="D74" s="19"/>
      <c r="E74" s="19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2.75">
      <c r="A75" s="26"/>
      <c r="B75" s="17"/>
      <c r="C75" s="19"/>
      <c r="D75" s="19"/>
      <c r="E75" s="19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2.75">
      <c r="A76" s="26"/>
      <c r="B76" s="17"/>
      <c r="C76" s="19"/>
      <c r="D76" s="19"/>
      <c r="E76" s="19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>
      <c r="A77" s="26"/>
      <c r="B77" s="17"/>
      <c r="C77" s="19"/>
      <c r="D77" s="19"/>
      <c r="E77" s="19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2.75">
      <c r="A78" s="26"/>
      <c r="B78" s="17"/>
      <c r="C78" s="19"/>
      <c r="D78" s="19"/>
      <c r="E78" s="19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2.75">
      <c r="A79" s="26"/>
      <c r="B79" s="17"/>
      <c r="C79" s="19"/>
      <c r="D79" s="19"/>
      <c r="E79" s="19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2.75">
      <c r="A80" s="26"/>
      <c r="B80" s="17"/>
      <c r="C80" s="19"/>
      <c r="D80" s="19"/>
      <c r="E80" s="19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2.75">
      <c r="A81" s="26"/>
      <c r="B81" s="17"/>
      <c r="C81" s="19"/>
      <c r="D81" s="19"/>
      <c r="E81" s="19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26"/>
      <c r="B82" s="17"/>
      <c r="C82" s="19"/>
      <c r="D82" s="19"/>
      <c r="E82" s="19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26"/>
      <c r="B83" s="17"/>
      <c r="C83" s="19"/>
      <c r="D83" s="19"/>
      <c r="E83" s="19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26"/>
      <c r="B84" s="17"/>
      <c r="C84" s="19"/>
      <c r="D84" s="19"/>
      <c r="E84" s="19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26"/>
      <c r="B85" s="17"/>
      <c r="C85" s="19"/>
      <c r="D85" s="19"/>
      <c r="E85" s="19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26"/>
      <c r="B86" s="17"/>
      <c r="C86" s="19"/>
      <c r="D86" s="19"/>
      <c r="E86" s="19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26"/>
      <c r="B87" s="17"/>
      <c r="C87" s="19"/>
      <c r="D87" s="19"/>
      <c r="E87" s="19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26"/>
      <c r="B88" s="17"/>
      <c r="C88" s="19"/>
      <c r="D88" s="19"/>
      <c r="E88" s="19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26"/>
      <c r="B89" s="17"/>
      <c r="C89" s="19"/>
      <c r="D89" s="19"/>
      <c r="E89" s="19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26"/>
      <c r="B90" s="17"/>
      <c r="C90" s="19"/>
      <c r="D90" s="19"/>
      <c r="E90" s="19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26"/>
      <c r="B91" s="29"/>
      <c r="C91" s="30"/>
      <c r="D91" s="17"/>
      <c r="E91" s="19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26"/>
      <c r="B92" s="29"/>
      <c r="C92" s="30"/>
      <c r="D92" s="17"/>
      <c r="E92" s="19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26"/>
      <c r="B93" s="29"/>
      <c r="C93" s="30"/>
      <c r="D93" s="17"/>
      <c r="E93" s="19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26"/>
      <c r="B94" s="29"/>
      <c r="C94" s="30"/>
      <c r="D94" s="17"/>
      <c r="E94" s="19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26"/>
      <c r="B95" s="29"/>
      <c r="C95" s="30"/>
      <c r="D95" s="17"/>
      <c r="E95" s="19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26"/>
      <c r="B96" s="29"/>
      <c r="C96" s="30"/>
      <c r="D96" s="17"/>
      <c r="E96" s="1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26"/>
      <c r="B98" s="29"/>
      <c r="C98" s="30"/>
      <c r="D98" s="17"/>
      <c r="E98" s="19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7"/>
      <c r="B100" s="17"/>
      <c r="C100" s="17"/>
      <c r="D100" s="17"/>
      <c r="E100" s="34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7"/>
      <c r="B101" s="17"/>
      <c r="C101" s="17"/>
      <c r="D101" s="17"/>
      <c r="E101" s="34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2.75">
      <c r="A102" s="17"/>
      <c r="B102" s="17"/>
      <c r="C102" s="17"/>
      <c r="D102" s="17"/>
      <c r="E102" s="34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2.75">
      <c r="A103" s="17"/>
      <c r="B103" s="17"/>
      <c r="C103" s="17"/>
      <c r="D103" s="17"/>
      <c r="E103" s="34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2.75">
      <c r="A104" s="22"/>
      <c r="B104" s="17"/>
      <c r="C104" s="19"/>
      <c r="D104" s="19"/>
      <c r="E104" s="34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2.75">
      <c r="A105" s="22"/>
      <c r="B105" s="17"/>
      <c r="C105" s="19"/>
      <c r="D105" s="19"/>
      <c r="E105" s="34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2.75">
      <c r="A106" s="18"/>
      <c r="B106" s="17"/>
      <c r="C106" s="19"/>
      <c r="D106" s="19"/>
      <c r="E106" s="34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2.75">
      <c r="A107" s="22"/>
      <c r="B107" s="17"/>
      <c r="C107" s="19"/>
      <c r="D107" s="19"/>
      <c r="E107" s="34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2.75">
      <c r="A108" s="22"/>
      <c r="B108" s="17"/>
      <c r="C108" s="19"/>
      <c r="D108" s="19"/>
      <c r="E108" s="19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2.75">
      <c r="A109" s="22"/>
      <c r="B109" s="17"/>
      <c r="C109" s="19"/>
      <c r="D109" s="19"/>
      <c r="E109" s="19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2.75">
      <c r="A110" s="18"/>
      <c r="B110" s="23"/>
      <c r="C110" s="20"/>
      <c r="D110" s="20"/>
      <c r="E110" s="29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5.75">
      <c r="A111" s="28"/>
      <c r="B111" s="17"/>
      <c r="C111" s="19"/>
      <c r="D111" s="19"/>
      <c r="E111" s="19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5.75">
      <c r="A112" s="28"/>
      <c r="B112" s="17"/>
      <c r="C112" s="19"/>
      <c r="D112" s="19"/>
      <c r="E112" s="19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</sheetData>
  <sheetProtection/>
  <printOptions/>
  <pageMargins left="0.75" right="0.75" top="1" bottom="1" header="0.5" footer="0.5"/>
  <pageSetup horizontalDpi="600" verticalDpi="600" orientation="portrait" paperSize="9" scale="47" r:id="rId1"/>
  <colBreaks count="1" manualBreakCount="1">
    <brk id="15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60" zoomScalePageLayoutView="0" workbookViewId="0" topLeftCell="A112">
      <selection activeCell="E78" sqref="E78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16.421875" style="0" customWidth="1"/>
    <col min="4" max="4" width="15.57421875" style="0" customWidth="1"/>
    <col min="5" max="5" width="14.8515625" style="0" customWidth="1"/>
    <col min="6" max="6" width="63.7109375" style="0" customWidth="1"/>
    <col min="7" max="7" width="9.8515625" style="0" customWidth="1"/>
    <col min="8" max="8" width="13.28125" style="0" customWidth="1"/>
    <col min="9" max="9" width="12.7109375" style="0" customWidth="1"/>
    <col min="10" max="10" width="14.421875" style="0" customWidth="1"/>
    <col min="11" max="11" width="11.8515625" style="0" hidden="1" customWidth="1"/>
    <col min="12" max="12" width="15.8515625" style="0" customWidth="1"/>
  </cols>
  <sheetData>
    <row r="1" spans="8:9" ht="13.5" thickBot="1">
      <c r="H1" s="1"/>
      <c r="I1" s="1"/>
    </row>
    <row r="2" spans="1:13" ht="18.75">
      <c r="A2" s="39"/>
      <c r="B2" s="106">
        <v>2009</v>
      </c>
      <c r="C2" s="107" t="s">
        <v>47</v>
      </c>
      <c r="D2" s="107"/>
      <c r="E2" s="108"/>
      <c r="F2" s="39"/>
      <c r="G2" s="39"/>
      <c r="H2" s="66"/>
      <c r="I2" s="66"/>
      <c r="J2" s="39"/>
      <c r="K2" s="39"/>
      <c r="L2" s="39"/>
      <c r="M2" s="39"/>
    </row>
    <row r="3" spans="1:13" ht="18">
      <c r="A3" s="39"/>
      <c r="B3" s="81"/>
      <c r="C3" s="61" t="s">
        <v>48</v>
      </c>
      <c r="D3" s="59"/>
      <c r="E3" s="109"/>
      <c r="F3" s="39"/>
      <c r="G3" s="39"/>
      <c r="H3" s="66"/>
      <c r="I3" s="66"/>
      <c r="J3" s="39"/>
      <c r="K3" s="39"/>
      <c r="L3" s="39"/>
      <c r="M3" s="39"/>
    </row>
    <row r="4" spans="1:13" ht="18">
      <c r="A4" s="39"/>
      <c r="B4" s="81"/>
      <c r="C4" s="61" t="s">
        <v>219</v>
      </c>
      <c r="D4" s="59"/>
      <c r="E4" s="109"/>
      <c r="F4" s="39"/>
      <c r="G4" s="39"/>
      <c r="H4" s="66"/>
      <c r="I4" s="66"/>
      <c r="J4" s="39"/>
      <c r="K4" s="39"/>
      <c r="L4" s="39"/>
      <c r="M4" s="39"/>
    </row>
    <row r="5" spans="1:13" ht="18.75" thickBot="1">
      <c r="A5" s="39"/>
      <c r="B5" s="81"/>
      <c r="C5" s="61"/>
      <c r="D5" s="59"/>
      <c r="E5" s="109"/>
      <c r="F5" s="39"/>
      <c r="G5" s="39"/>
      <c r="H5" s="66"/>
      <c r="I5" s="66"/>
      <c r="J5" s="39"/>
      <c r="K5" s="39"/>
      <c r="L5" s="39"/>
      <c r="M5" s="39"/>
    </row>
    <row r="6" spans="1:13" ht="18">
      <c r="A6" s="39"/>
      <c r="B6" s="110" t="s">
        <v>144</v>
      </c>
      <c r="C6" s="97" t="s">
        <v>133</v>
      </c>
      <c r="D6" s="97" t="s">
        <v>127</v>
      </c>
      <c r="E6" s="76"/>
      <c r="F6" s="39"/>
      <c r="G6" s="39"/>
      <c r="H6" s="66"/>
      <c r="I6" s="66"/>
      <c r="J6" s="39"/>
      <c r="K6" s="39"/>
      <c r="L6" s="39"/>
      <c r="M6" s="39"/>
    </row>
    <row r="7" spans="1:13" ht="18">
      <c r="A7" s="39"/>
      <c r="B7" s="83" t="s">
        <v>134</v>
      </c>
      <c r="C7" s="61" t="str">
        <f>C22</f>
        <v>Personnel Staff</v>
      </c>
      <c r="D7" s="77">
        <f>D22</f>
        <v>37146.857142857145</v>
      </c>
      <c r="E7" s="111">
        <f>D7/$D$17</f>
        <v>0.07560161812478414</v>
      </c>
      <c r="F7" s="39"/>
      <c r="G7" s="39"/>
      <c r="H7" s="66"/>
      <c r="I7" s="66"/>
      <c r="J7" s="39"/>
      <c r="K7" s="39"/>
      <c r="L7" s="39"/>
      <c r="M7" s="39"/>
    </row>
    <row r="8" spans="1:13" ht="18">
      <c r="A8" s="39"/>
      <c r="B8" s="83" t="s">
        <v>135</v>
      </c>
      <c r="C8" s="61" t="str">
        <f>C31</f>
        <v>Supporting Staff</v>
      </c>
      <c r="D8" s="77">
        <f>D31</f>
        <v>78289.41</v>
      </c>
      <c r="E8" s="111">
        <f aca="true" t="shared" si="0" ref="E8:E16">D8/$D$17</f>
        <v>0.1593353121442406</v>
      </c>
      <c r="F8" s="39"/>
      <c r="G8" s="53"/>
      <c r="H8" s="66"/>
      <c r="I8" s="66"/>
      <c r="J8" s="39"/>
      <c r="K8" s="39"/>
      <c r="L8" s="39"/>
      <c r="M8" s="39"/>
    </row>
    <row r="9" spans="1:13" ht="18">
      <c r="A9" s="39"/>
      <c r="B9" s="83" t="s">
        <v>136</v>
      </c>
      <c r="C9" s="61" t="str">
        <f>C44</f>
        <v>CLINIC</v>
      </c>
      <c r="D9" s="77">
        <f>D44</f>
        <v>15461.357142857143</v>
      </c>
      <c r="E9" s="111">
        <f t="shared" si="0"/>
        <v>0.03146709327009524</v>
      </c>
      <c r="F9" s="39"/>
      <c r="G9" s="53"/>
      <c r="H9" s="66"/>
      <c r="I9" s="66"/>
      <c r="J9" s="39"/>
      <c r="K9" s="39"/>
      <c r="L9" s="39"/>
      <c r="M9" s="39"/>
    </row>
    <row r="10" spans="1:13" ht="18">
      <c r="A10" s="39"/>
      <c r="B10" s="83" t="s">
        <v>137</v>
      </c>
      <c r="C10" s="61" t="str">
        <f>C49</f>
        <v>Utilities,Legal &amp; audit</v>
      </c>
      <c r="D10" s="77">
        <f>D49</f>
        <v>20000</v>
      </c>
      <c r="E10" s="111">
        <f t="shared" si="0"/>
        <v>0.04070418007856761</v>
      </c>
      <c r="F10" s="39"/>
      <c r="G10" s="53"/>
      <c r="H10" s="66"/>
      <c r="I10" s="66"/>
      <c r="J10" s="39"/>
      <c r="K10" s="39"/>
      <c r="L10" s="39"/>
      <c r="M10" s="39"/>
    </row>
    <row r="11" spans="1:13" ht="18">
      <c r="A11" s="39"/>
      <c r="B11" s="83" t="s">
        <v>138</v>
      </c>
      <c r="C11" s="61" t="str">
        <f>C54</f>
        <v>Travel &amp; Transport</v>
      </c>
      <c r="D11" s="77">
        <f>D54</f>
        <v>26997.42857142858</v>
      </c>
      <c r="E11" s="111">
        <f t="shared" si="0"/>
        <v>0.05494540971148476</v>
      </c>
      <c r="F11" s="39"/>
      <c r="G11" s="53"/>
      <c r="H11" s="66"/>
      <c r="I11" s="66"/>
      <c r="J11" s="39"/>
      <c r="K11" s="39"/>
      <c r="L11" s="39"/>
      <c r="M11" s="39"/>
    </row>
    <row r="12" spans="1:13" ht="18">
      <c r="A12" s="39"/>
      <c r="B12" s="83" t="s">
        <v>139</v>
      </c>
      <c r="C12" s="61" t="str">
        <f>C75</f>
        <v>Food Items</v>
      </c>
      <c r="D12" s="77">
        <f>D75</f>
        <v>142800</v>
      </c>
      <c r="E12" s="111">
        <f t="shared" si="0"/>
        <v>0.2906278457609727</v>
      </c>
      <c r="F12" s="39"/>
      <c r="G12" s="39"/>
      <c r="H12" s="66"/>
      <c r="I12" s="66"/>
      <c r="J12" s="39"/>
      <c r="K12" s="39"/>
      <c r="L12" s="39"/>
      <c r="M12" s="39"/>
    </row>
    <row r="13" spans="1:13" ht="18">
      <c r="A13" s="39"/>
      <c r="B13" s="83" t="str">
        <f>B92</f>
        <v>V7</v>
      </c>
      <c r="C13" s="61" t="str">
        <f>C92</f>
        <v>House Keeping</v>
      </c>
      <c r="D13" s="77">
        <f>D92</f>
        <v>118789.53461904761</v>
      </c>
      <c r="E13" s="111">
        <f t="shared" si="0"/>
        <v>0.24176153042914778</v>
      </c>
      <c r="F13" s="39"/>
      <c r="G13" s="39"/>
      <c r="H13" s="66"/>
      <c r="I13" s="66"/>
      <c r="J13" s="39"/>
      <c r="K13" s="39"/>
      <c r="L13" s="39"/>
      <c r="M13" s="39"/>
    </row>
    <row r="14" spans="1:13" ht="18">
      <c r="A14" s="39"/>
      <c r="B14" s="83" t="s">
        <v>141</v>
      </c>
      <c r="C14" s="70" t="str">
        <f>C123</f>
        <v>Capital Expenditure</v>
      </c>
      <c r="D14" s="77">
        <f>D123</f>
        <v>37000</v>
      </c>
      <c r="E14" s="111">
        <f t="shared" si="0"/>
        <v>0.07530273314535008</v>
      </c>
      <c r="F14" s="39"/>
      <c r="G14" s="39"/>
      <c r="H14" s="66"/>
      <c r="I14" s="66"/>
      <c r="J14" s="39"/>
      <c r="K14" s="39"/>
      <c r="L14" s="39"/>
      <c r="M14" s="39"/>
    </row>
    <row r="15" spans="1:13" ht="18">
      <c r="A15" s="39"/>
      <c r="B15" s="83" t="s">
        <v>143</v>
      </c>
      <c r="C15" s="70" t="str">
        <f>C125</f>
        <v>Communication</v>
      </c>
      <c r="D15" s="77">
        <f>D125</f>
        <v>1080</v>
      </c>
      <c r="E15" s="111">
        <f t="shared" si="0"/>
        <v>0.002198025724242651</v>
      </c>
      <c r="F15" s="39"/>
      <c r="G15" s="39"/>
      <c r="H15" s="66"/>
      <c r="I15" s="66"/>
      <c r="J15" s="39"/>
      <c r="K15" s="39"/>
      <c r="L15" s="39"/>
      <c r="M15" s="39"/>
    </row>
    <row r="16" spans="1:13" ht="18">
      <c r="A16" s="39"/>
      <c r="B16" s="83" t="s">
        <v>193</v>
      </c>
      <c r="C16" s="70" t="str">
        <f>C128</f>
        <v> Training</v>
      </c>
      <c r="D16" s="77">
        <f>D128</f>
        <v>13785.44</v>
      </c>
      <c r="E16" s="111">
        <f t="shared" si="0"/>
        <v>0.028056251611114455</v>
      </c>
      <c r="F16" s="39"/>
      <c r="G16" s="39"/>
      <c r="H16" s="66"/>
      <c r="I16" s="66"/>
      <c r="J16" s="39"/>
      <c r="K16" s="39"/>
      <c r="L16" s="39"/>
      <c r="M16" s="39"/>
    </row>
    <row r="17" spans="1:13" ht="18">
      <c r="A17" s="39"/>
      <c r="B17" s="83"/>
      <c r="C17" s="61" t="s">
        <v>131</v>
      </c>
      <c r="D17" s="70">
        <f>SUM(D7:D16)</f>
        <v>491350.0274761905</v>
      </c>
      <c r="E17" s="111">
        <f>SUM(E7:E16)</f>
        <v>1</v>
      </c>
      <c r="F17" s="39"/>
      <c r="G17" s="39"/>
      <c r="H17" s="66"/>
      <c r="I17" s="66"/>
      <c r="J17" s="39"/>
      <c r="K17" s="39"/>
      <c r="L17" s="39"/>
      <c r="M17" s="39"/>
    </row>
    <row r="18" spans="1:13" ht="18.75" thickBot="1">
      <c r="A18" s="39"/>
      <c r="B18" s="101"/>
      <c r="C18" s="102" t="s">
        <v>132</v>
      </c>
      <c r="D18" s="112">
        <f>D17/12</f>
        <v>40945.835623015875</v>
      </c>
      <c r="E18" s="113"/>
      <c r="F18" s="39"/>
      <c r="G18" s="39"/>
      <c r="H18" s="66"/>
      <c r="I18" s="66"/>
      <c r="J18" s="39"/>
      <c r="K18" s="39"/>
      <c r="L18" s="39"/>
      <c r="M18" s="39"/>
    </row>
    <row r="19" spans="1:13" ht="18.75" thickBot="1">
      <c r="A19" s="39"/>
      <c r="B19" s="68"/>
      <c r="C19" s="63"/>
      <c r="D19" s="66"/>
      <c r="E19" s="66"/>
      <c r="F19" s="39"/>
      <c r="G19" s="39"/>
      <c r="H19" s="66"/>
      <c r="I19" s="66"/>
      <c r="J19" s="39"/>
      <c r="K19" s="39"/>
      <c r="L19" s="39"/>
      <c r="M19" s="39"/>
    </row>
    <row r="20" spans="1:13" ht="18">
      <c r="A20" s="39"/>
      <c r="B20" s="114" t="s">
        <v>145</v>
      </c>
      <c r="C20" s="114"/>
      <c r="D20" s="114" t="s">
        <v>2</v>
      </c>
      <c r="E20" s="114"/>
      <c r="F20" s="114"/>
      <c r="G20" s="114"/>
      <c r="H20" s="115" t="s">
        <v>15</v>
      </c>
      <c r="I20" s="116" t="s">
        <v>6</v>
      </c>
      <c r="J20" s="117" t="s">
        <v>8</v>
      </c>
      <c r="K20" s="118" t="s">
        <v>20</v>
      </c>
      <c r="L20" s="119"/>
      <c r="M20" s="39"/>
    </row>
    <row r="21" spans="1:13" ht="18">
      <c r="A21" s="39"/>
      <c r="B21" s="114" t="s">
        <v>3</v>
      </c>
      <c r="C21" s="120" t="s">
        <v>41</v>
      </c>
      <c r="D21" s="120" t="s">
        <v>0</v>
      </c>
      <c r="E21" s="120" t="s">
        <v>1</v>
      </c>
      <c r="F21" s="121" t="s">
        <v>5</v>
      </c>
      <c r="G21" s="121" t="s">
        <v>14</v>
      </c>
      <c r="H21" s="122" t="s">
        <v>16</v>
      </c>
      <c r="I21" s="123" t="s">
        <v>7</v>
      </c>
      <c r="J21" s="124" t="s">
        <v>7</v>
      </c>
      <c r="K21" s="125" t="s">
        <v>46</v>
      </c>
      <c r="L21" s="126"/>
      <c r="M21" s="39"/>
    </row>
    <row r="22" spans="1:13" ht="18">
      <c r="A22" s="39"/>
      <c r="B22" s="127" t="s">
        <v>134</v>
      </c>
      <c r="C22" s="128" t="s">
        <v>4</v>
      </c>
      <c r="D22" s="129">
        <f>SUM(J22:J28)</f>
        <v>37146.857142857145</v>
      </c>
      <c r="E22" s="129">
        <f>SUM(I22:I28)</f>
        <v>3095.5714285714284</v>
      </c>
      <c r="F22" s="130" t="s">
        <v>24</v>
      </c>
      <c r="G22" s="131">
        <v>1</v>
      </c>
      <c r="H22" s="132">
        <f>453*25%+453</f>
        <v>566.25</v>
      </c>
      <c r="I22" s="133">
        <f>SUM(G22*H22)</f>
        <v>566.25</v>
      </c>
      <c r="J22" s="134">
        <f aca="true" t="shared" si="1" ref="J22:J27">I22*12</f>
        <v>6795</v>
      </c>
      <c r="K22" s="135">
        <v>1</v>
      </c>
      <c r="L22" s="45"/>
      <c r="M22" s="39"/>
    </row>
    <row r="23" spans="1:13" ht="18">
      <c r="A23" s="39"/>
      <c r="B23" s="136"/>
      <c r="C23" s="114"/>
      <c r="D23" s="137"/>
      <c r="E23" s="137"/>
      <c r="F23" s="137" t="s">
        <v>9</v>
      </c>
      <c r="G23" s="131">
        <v>1</v>
      </c>
      <c r="H23" s="132">
        <f>299.6*25%+299.6</f>
        <v>374.5</v>
      </c>
      <c r="I23" s="133">
        <f>SUM(G23*H23)</f>
        <v>374.5</v>
      </c>
      <c r="J23" s="134">
        <f t="shared" si="1"/>
        <v>4494</v>
      </c>
      <c r="K23" s="138">
        <v>2</v>
      </c>
      <c r="L23" s="45"/>
      <c r="M23" s="39"/>
    </row>
    <row r="24" spans="1:13" ht="18.75" thickBot="1">
      <c r="A24" s="39"/>
      <c r="B24" s="136"/>
      <c r="C24" s="114"/>
      <c r="D24" s="137"/>
      <c r="E24" s="137"/>
      <c r="F24" s="137" t="s">
        <v>27</v>
      </c>
      <c r="G24" s="131">
        <v>1</v>
      </c>
      <c r="H24" s="132">
        <f>453.23*25%+453.23</f>
        <v>566.5375</v>
      </c>
      <c r="I24" s="133">
        <f>SUM(G24*H24)</f>
        <v>566.5375</v>
      </c>
      <c r="J24" s="134">
        <f t="shared" si="1"/>
        <v>6798.450000000001</v>
      </c>
      <c r="K24" s="139">
        <v>3</v>
      </c>
      <c r="L24" s="45"/>
      <c r="M24" s="39"/>
    </row>
    <row r="25" spans="1:13" ht="18">
      <c r="A25" s="39"/>
      <c r="B25" s="136"/>
      <c r="C25" s="114"/>
      <c r="D25" s="137"/>
      <c r="E25" s="137"/>
      <c r="F25" s="137" t="s">
        <v>31</v>
      </c>
      <c r="G25" s="131">
        <v>1</v>
      </c>
      <c r="H25" s="132">
        <f>362.59*25%+362.59</f>
        <v>453.23749999999995</v>
      </c>
      <c r="I25" s="133">
        <f>G25*H25</f>
        <v>453.23749999999995</v>
      </c>
      <c r="J25" s="134">
        <f t="shared" si="1"/>
        <v>5438.849999999999</v>
      </c>
      <c r="K25" s="140">
        <v>4</v>
      </c>
      <c r="L25" s="45"/>
      <c r="M25" s="39"/>
    </row>
    <row r="26" spans="1:13" ht="18">
      <c r="A26" s="39"/>
      <c r="B26" s="136"/>
      <c r="C26" s="114"/>
      <c r="D26" s="137"/>
      <c r="E26" s="137"/>
      <c r="F26" s="137" t="s">
        <v>252</v>
      </c>
      <c r="G26" s="131">
        <v>1</v>
      </c>
      <c r="H26" s="132">
        <f>362.59*25%+362.59</f>
        <v>453.23749999999995</v>
      </c>
      <c r="I26" s="133">
        <f>G26*H26</f>
        <v>453.23749999999995</v>
      </c>
      <c r="J26" s="134">
        <f t="shared" si="1"/>
        <v>5438.849999999999</v>
      </c>
      <c r="K26" s="138">
        <v>5</v>
      </c>
      <c r="L26" s="45"/>
      <c r="M26" s="39"/>
    </row>
    <row r="27" spans="1:13" ht="18">
      <c r="A27" s="39"/>
      <c r="B27" s="136"/>
      <c r="C27" s="114"/>
      <c r="D27" s="137"/>
      <c r="E27" s="137"/>
      <c r="F27" s="137" t="s">
        <v>25</v>
      </c>
      <c r="G27" s="131">
        <v>1</v>
      </c>
      <c r="H27" s="132">
        <f>H25</f>
        <v>453.23749999999995</v>
      </c>
      <c r="I27" s="133">
        <f>G27*H27</f>
        <v>453.23749999999995</v>
      </c>
      <c r="J27" s="134">
        <f t="shared" si="1"/>
        <v>5438.849999999999</v>
      </c>
      <c r="K27" s="138">
        <v>6</v>
      </c>
      <c r="L27" s="45"/>
      <c r="M27" s="39"/>
    </row>
    <row r="28" spans="1:13" ht="18">
      <c r="A28" s="39"/>
      <c r="B28" s="141"/>
      <c r="C28" s="142"/>
      <c r="D28" s="143"/>
      <c r="E28" s="143"/>
      <c r="F28" s="142" t="s">
        <v>218</v>
      </c>
      <c r="G28" s="131">
        <v>8</v>
      </c>
      <c r="H28" s="132">
        <f>4000/140</f>
        <v>28.571428571428573</v>
      </c>
      <c r="I28" s="133">
        <f>G28*H28</f>
        <v>228.57142857142858</v>
      </c>
      <c r="J28" s="134">
        <f>I28*12</f>
        <v>2742.857142857143</v>
      </c>
      <c r="K28" s="139">
        <v>7</v>
      </c>
      <c r="L28" s="45"/>
      <c r="M28" s="39"/>
    </row>
    <row r="29" spans="1:13" ht="18">
      <c r="A29" s="39"/>
      <c r="B29" s="141"/>
      <c r="C29" s="142"/>
      <c r="D29" s="143"/>
      <c r="E29" s="143"/>
      <c r="F29" s="143"/>
      <c r="G29" s="144"/>
      <c r="H29" s="145"/>
      <c r="I29" s="133"/>
      <c r="J29" s="146"/>
      <c r="K29" s="139"/>
      <c r="L29" s="147"/>
      <c r="M29" s="39"/>
    </row>
    <row r="30" spans="1:13" ht="18.75" thickBot="1">
      <c r="A30" s="39"/>
      <c r="B30" s="148"/>
      <c r="C30" s="149"/>
      <c r="D30" s="150"/>
      <c r="E30" s="150"/>
      <c r="F30" s="150" t="s">
        <v>238</v>
      </c>
      <c r="G30" s="151"/>
      <c r="H30" s="152"/>
      <c r="I30" s="153"/>
      <c r="J30" s="154"/>
      <c r="K30" s="155"/>
      <c r="L30" s="45"/>
      <c r="M30" s="39"/>
    </row>
    <row r="31" spans="1:13" ht="18">
      <c r="A31" s="39"/>
      <c r="B31" s="156" t="s">
        <v>135</v>
      </c>
      <c r="C31" s="157" t="s">
        <v>128</v>
      </c>
      <c r="D31" s="158">
        <f>SUM(J31:J42)</f>
        <v>78289.41</v>
      </c>
      <c r="E31" s="159">
        <f>SUM(I31:I42)</f>
        <v>6524.1174999999985</v>
      </c>
      <c r="F31" s="159" t="s">
        <v>10</v>
      </c>
      <c r="G31" s="160">
        <v>1</v>
      </c>
      <c r="H31" s="161">
        <f>192.44+25%+192.44</f>
        <v>385.13</v>
      </c>
      <c r="I31" s="162">
        <f>G31*H31</f>
        <v>385.13</v>
      </c>
      <c r="J31" s="163">
        <f aca="true" t="shared" si="2" ref="J31:J40">I31*12</f>
        <v>4621.5599999999995</v>
      </c>
      <c r="K31" s="164">
        <v>1</v>
      </c>
      <c r="L31" s="147"/>
      <c r="M31" s="39"/>
    </row>
    <row r="32" spans="1:13" ht="18">
      <c r="A32" s="39"/>
      <c r="B32" s="136"/>
      <c r="C32" s="114"/>
      <c r="D32" s="137"/>
      <c r="E32" s="137"/>
      <c r="F32" s="137" t="s">
        <v>11</v>
      </c>
      <c r="G32" s="165">
        <v>1</v>
      </c>
      <c r="H32" s="166">
        <f>181.16*25%+181.16</f>
        <v>226.45</v>
      </c>
      <c r="I32" s="133">
        <f>G32*H32</f>
        <v>226.45</v>
      </c>
      <c r="J32" s="134">
        <f t="shared" si="2"/>
        <v>2717.3999999999996</v>
      </c>
      <c r="K32" s="138">
        <v>2</v>
      </c>
      <c r="L32" s="45"/>
      <c r="M32" s="39"/>
    </row>
    <row r="33" spans="1:13" ht="18">
      <c r="A33" s="39"/>
      <c r="B33" s="136"/>
      <c r="C33" s="114"/>
      <c r="D33" s="137"/>
      <c r="E33" s="137"/>
      <c r="F33" s="137" t="s">
        <v>34</v>
      </c>
      <c r="G33" s="165">
        <v>1</v>
      </c>
      <c r="H33" s="132">
        <f>140.5*25%+140.5</f>
        <v>175.625</v>
      </c>
      <c r="I33" s="133">
        <f>G33*H33</f>
        <v>175.625</v>
      </c>
      <c r="J33" s="134">
        <f t="shared" si="2"/>
        <v>2107.5</v>
      </c>
      <c r="K33" s="138">
        <v>3</v>
      </c>
      <c r="L33" s="45"/>
      <c r="M33" s="39"/>
    </row>
    <row r="34" spans="1:13" ht="18">
      <c r="A34" s="39"/>
      <c r="B34" s="136"/>
      <c r="C34" s="114"/>
      <c r="D34" s="137"/>
      <c r="E34" s="137"/>
      <c r="F34" s="137" t="s">
        <v>13</v>
      </c>
      <c r="G34" s="165">
        <v>40</v>
      </c>
      <c r="H34" s="132">
        <f>72.5*25%+72.5</f>
        <v>90.625</v>
      </c>
      <c r="I34" s="133">
        <f>SUM(G34*H34)</f>
        <v>3625</v>
      </c>
      <c r="J34" s="134">
        <f t="shared" si="2"/>
        <v>43500</v>
      </c>
      <c r="K34" s="138">
        <v>4</v>
      </c>
      <c r="L34" s="45"/>
      <c r="M34" s="39"/>
    </row>
    <row r="35" spans="1:13" ht="18">
      <c r="A35" s="39"/>
      <c r="B35" s="136"/>
      <c r="C35" s="114"/>
      <c r="D35" s="137"/>
      <c r="E35" s="137"/>
      <c r="F35" s="137" t="s">
        <v>44</v>
      </c>
      <c r="G35" s="165">
        <v>2</v>
      </c>
      <c r="H35" s="132">
        <f>181.16*25%+181.16</f>
        <v>226.45</v>
      </c>
      <c r="I35" s="133">
        <f aca="true" t="shared" si="3" ref="I35:I42">SUM(G35*H35)</f>
        <v>452.9</v>
      </c>
      <c r="J35" s="134">
        <f t="shared" si="2"/>
        <v>5434.799999999999</v>
      </c>
      <c r="K35" s="138">
        <v>5</v>
      </c>
      <c r="L35" s="45"/>
      <c r="M35" s="39"/>
    </row>
    <row r="36" spans="1:13" ht="18">
      <c r="A36" s="39"/>
      <c r="B36" s="136"/>
      <c r="C36" s="114"/>
      <c r="D36" s="137"/>
      <c r="E36" s="137"/>
      <c r="F36" s="137" t="s">
        <v>12</v>
      </c>
      <c r="G36" s="165">
        <v>2</v>
      </c>
      <c r="H36" s="132">
        <f>72.5*25%+72.5</f>
        <v>90.625</v>
      </c>
      <c r="I36" s="133">
        <f t="shared" si="3"/>
        <v>181.25</v>
      </c>
      <c r="J36" s="134">
        <f t="shared" si="2"/>
        <v>2175</v>
      </c>
      <c r="K36" s="138">
        <v>6</v>
      </c>
      <c r="L36" s="45"/>
      <c r="M36" s="39"/>
    </row>
    <row r="37" spans="1:13" ht="18">
      <c r="A37" s="39"/>
      <c r="B37" s="136"/>
      <c r="C37" s="114"/>
      <c r="D37" s="137"/>
      <c r="E37" s="137"/>
      <c r="F37" s="137" t="s">
        <v>33</v>
      </c>
      <c r="G37" s="165">
        <v>1</v>
      </c>
      <c r="H37" s="132">
        <f>134.82*25%+134.82</f>
        <v>168.52499999999998</v>
      </c>
      <c r="I37" s="133">
        <f t="shared" si="3"/>
        <v>168.52499999999998</v>
      </c>
      <c r="J37" s="134">
        <f t="shared" si="2"/>
        <v>2022.2999999999997</v>
      </c>
      <c r="K37" s="138">
        <v>7</v>
      </c>
      <c r="L37" s="45"/>
      <c r="M37" s="39"/>
    </row>
    <row r="38" spans="1:13" ht="18">
      <c r="A38" s="39"/>
      <c r="B38" s="136"/>
      <c r="C38" s="114"/>
      <c r="D38" s="137"/>
      <c r="E38" s="137"/>
      <c r="F38" s="137" t="s">
        <v>32</v>
      </c>
      <c r="G38" s="165">
        <v>1</v>
      </c>
      <c r="H38" s="132">
        <f>135.96*25%+135.96</f>
        <v>169.95000000000002</v>
      </c>
      <c r="I38" s="133">
        <f t="shared" si="3"/>
        <v>169.95000000000002</v>
      </c>
      <c r="J38" s="134">
        <f t="shared" si="2"/>
        <v>2039.4</v>
      </c>
      <c r="K38" s="138">
        <v>8</v>
      </c>
      <c r="L38" s="45"/>
      <c r="M38" s="39"/>
    </row>
    <row r="39" spans="1:13" ht="18">
      <c r="A39" s="39"/>
      <c r="B39" s="136"/>
      <c r="C39" s="114"/>
      <c r="D39" s="137"/>
      <c r="E39" s="137"/>
      <c r="F39" s="137" t="s">
        <v>19</v>
      </c>
      <c r="G39" s="165">
        <v>1</v>
      </c>
      <c r="H39" s="132">
        <f>135.96*25%+135.96</f>
        <v>169.95000000000002</v>
      </c>
      <c r="I39" s="133">
        <f t="shared" si="3"/>
        <v>169.95000000000002</v>
      </c>
      <c r="J39" s="134">
        <f t="shared" si="2"/>
        <v>2039.4</v>
      </c>
      <c r="K39" s="138">
        <v>9</v>
      </c>
      <c r="L39" s="45"/>
      <c r="M39" s="39"/>
    </row>
    <row r="40" spans="1:13" ht="18">
      <c r="A40" s="39"/>
      <c r="B40" s="136"/>
      <c r="C40" s="114"/>
      <c r="D40" s="137"/>
      <c r="E40" s="137"/>
      <c r="F40" s="114" t="s">
        <v>17</v>
      </c>
      <c r="G40" s="165">
        <v>6</v>
      </c>
      <c r="H40" s="132">
        <f>54.37*25%+54.37</f>
        <v>67.96249999999999</v>
      </c>
      <c r="I40" s="133">
        <f t="shared" si="3"/>
        <v>407.775</v>
      </c>
      <c r="J40" s="134">
        <f t="shared" si="2"/>
        <v>4893.299999999999</v>
      </c>
      <c r="K40" s="138">
        <v>10</v>
      </c>
      <c r="L40" s="45"/>
      <c r="M40" s="39"/>
    </row>
    <row r="41" spans="1:13" ht="18">
      <c r="A41" s="39"/>
      <c r="B41" s="136"/>
      <c r="C41" s="114"/>
      <c r="D41" s="137"/>
      <c r="E41" s="137"/>
      <c r="F41" s="114" t="s">
        <v>43</v>
      </c>
      <c r="G41" s="165">
        <v>6</v>
      </c>
      <c r="H41" s="167">
        <f>49.84*25%+49.84</f>
        <v>62.300000000000004</v>
      </c>
      <c r="I41" s="168">
        <f t="shared" si="3"/>
        <v>373.8</v>
      </c>
      <c r="J41" s="134">
        <f>I41*12</f>
        <v>4485.6</v>
      </c>
      <c r="K41" s="138">
        <v>11</v>
      </c>
      <c r="L41" s="45"/>
      <c r="M41" s="39"/>
    </row>
    <row r="42" spans="1:13" ht="18">
      <c r="A42" s="39"/>
      <c r="B42" s="136"/>
      <c r="C42" s="114"/>
      <c r="D42" s="137"/>
      <c r="E42" s="137"/>
      <c r="F42" s="114" t="s">
        <v>54</v>
      </c>
      <c r="G42" s="165">
        <v>1</v>
      </c>
      <c r="H42" s="167">
        <f>150.21*25%+150.21</f>
        <v>187.76250000000002</v>
      </c>
      <c r="I42" s="168">
        <f t="shared" si="3"/>
        <v>187.76250000000002</v>
      </c>
      <c r="J42" s="146">
        <f>I42*12</f>
        <v>2253.15</v>
      </c>
      <c r="K42" s="138"/>
      <c r="L42" s="45"/>
      <c r="M42" s="39"/>
    </row>
    <row r="43" spans="1:13" ht="18.75" thickBot="1">
      <c r="A43" s="39"/>
      <c r="B43" s="148"/>
      <c r="C43" s="149"/>
      <c r="D43" s="150"/>
      <c r="E43" s="150"/>
      <c r="F43" s="169"/>
      <c r="G43" s="170"/>
      <c r="H43" s="171"/>
      <c r="I43" s="133"/>
      <c r="J43" s="146"/>
      <c r="K43" s="155"/>
      <c r="L43" s="45"/>
      <c r="M43" s="39"/>
    </row>
    <row r="44" spans="1:13" ht="18">
      <c r="A44" s="39"/>
      <c r="B44" s="172" t="s">
        <v>136</v>
      </c>
      <c r="C44" s="173" t="s">
        <v>42</v>
      </c>
      <c r="D44" s="174">
        <f>SUM(J44:J47)</f>
        <v>15461.357142857143</v>
      </c>
      <c r="E44" s="174">
        <f>SUM(I44:I47)</f>
        <v>1288.4464285714287</v>
      </c>
      <c r="F44" s="175" t="s">
        <v>26</v>
      </c>
      <c r="G44" s="176">
        <v>1</v>
      </c>
      <c r="H44" s="177">
        <f>407.9*25%+407.9</f>
        <v>509.875</v>
      </c>
      <c r="I44" s="133">
        <f>SUM(G44*H44)</f>
        <v>509.875</v>
      </c>
      <c r="J44" s="134">
        <f>I44*12</f>
        <v>6118.5</v>
      </c>
      <c r="K44" s="178">
        <v>1</v>
      </c>
      <c r="L44" s="147"/>
      <c r="M44" s="39"/>
    </row>
    <row r="45" spans="1:13" ht="18">
      <c r="A45" s="39"/>
      <c r="B45" s="179"/>
      <c r="C45" s="142"/>
      <c r="D45" s="143"/>
      <c r="E45" s="143"/>
      <c r="F45" s="142" t="s">
        <v>215</v>
      </c>
      <c r="G45" s="144">
        <v>1</v>
      </c>
      <c r="H45" s="180">
        <f>500</f>
        <v>500</v>
      </c>
      <c r="I45" s="133">
        <f>G45*H45</f>
        <v>500</v>
      </c>
      <c r="J45" s="134">
        <f>H45*12</f>
        <v>6000</v>
      </c>
      <c r="K45" s="138">
        <v>3</v>
      </c>
      <c r="L45" s="45"/>
      <c r="M45" s="39"/>
    </row>
    <row r="46" spans="1:13" ht="18">
      <c r="A46" s="39"/>
      <c r="B46" s="179"/>
      <c r="C46" s="142"/>
      <c r="D46" s="143"/>
      <c r="E46" s="143"/>
      <c r="F46" s="142" t="s">
        <v>216</v>
      </c>
      <c r="G46" s="144">
        <v>1</v>
      </c>
      <c r="H46" s="180">
        <f>H45*10%</f>
        <v>50</v>
      </c>
      <c r="I46" s="133">
        <f>G46*H46</f>
        <v>50</v>
      </c>
      <c r="J46" s="146">
        <f>I46*12</f>
        <v>600</v>
      </c>
      <c r="K46" s="138"/>
      <c r="L46" s="45"/>
      <c r="M46" s="39"/>
    </row>
    <row r="47" spans="1:13" ht="18">
      <c r="A47" s="39"/>
      <c r="B47" s="179"/>
      <c r="C47" s="142"/>
      <c r="D47" s="143"/>
      <c r="E47" s="143"/>
      <c r="F47" s="142" t="s">
        <v>214</v>
      </c>
      <c r="G47" s="144">
        <v>8</v>
      </c>
      <c r="H47" s="180">
        <f>(2000+2000)/140</f>
        <v>28.571428571428573</v>
      </c>
      <c r="I47" s="133">
        <f>G47*H47</f>
        <v>228.57142857142858</v>
      </c>
      <c r="J47" s="146">
        <f>I47*12</f>
        <v>2742.857142857143</v>
      </c>
      <c r="K47" s="138"/>
      <c r="L47" s="45"/>
      <c r="M47" s="39"/>
    </row>
    <row r="48" spans="1:13" ht="18.75" thickBot="1">
      <c r="A48" s="39"/>
      <c r="B48" s="181"/>
      <c r="C48" s="149"/>
      <c r="D48" s="150"/>
      <c r="E48" s="150"/>
      <c r="F48" s="149"/>
      <c r="G48" s="151"/>
      <c r="H48" s="182"/>
      <c r="I48" s="153"/>
      <c r="J48" s="154"/>
      <c r="K48" s="138"/>
      <c r="L48" s="45"/>
      <c r="M48" s="39"/>
    </row>
    <row r="49" spans="1:13" ht="18">
      <c r="A49" s="39"/>
      <c r="B49" s="172" t="s">
        <v>137</v>
      </c>
      <c r="C49" s="157" t="s">
        <v>255</v>
      </c>
      <c r="D49" s="158">
        <f>SUM(J50:J52)</f>
        <v>20000</v>
      </c>
      <c r="E49" s="158">
        <f>D49/12</f>
        <v>1666.6666666666667</v>
      </c>
      <c r="F49" s="183" t="s">
        <v>217</v>
      </c>
      <c r="G49" s="165"/>
      <c r="H49" s="132"/>
      <c r="I49" s="133"/>
      <c r="J49" s="146"/>
      <c r="K49" s="135"/>
      <c r="L49" s="45"/>
      <c r="M49" s="39"/>
    </row>
    <row r="50" spans="1:13" ht="18">
      <c r="A50" s="39"/>
      <c r="B50" s="184"/>
      <c r="C50" s="114"/>
      <c r="D50" s="137"/>
      <c r="E50" s="137"/>
      <c r="F50" s="185" t="s">
        <v>253</v>
      </c>
      <c r="G50" s="165">
        <v>1</v>
      </c>
      <c r="H50" s="132">
        <f>150000/140</f>
        <v>1071.4285714285713</v>
      </c>
      <c r="I50" s="133">
        <f>G50*H50</f>
        <v>1071.4285714285713</v>
      </c>
      <c r="J50" s="146">
        <f>I50*12</f>
        <v>12857.142857142855</v>
      </c>
      <c r="K50" s="138">
        <v>1</v>
      </c>
      <c r="L50" s="147"/>
      <c r="M50" s="39"/>
    </row>
    <row r="51" spans="1:13" ht="18">
      <c r="A51" s="39"/>
      <c r="B51" s="184"/>
      <c r="C51" s="114"/>
      <c r="D51" s="137"/>
      <c r="E51" s="137"/>
      <c r="F51" s="185"/>
      <c r="G51" s="165"/>
      <c r="H51" s="186"/>
      <c r="I51" s="133"/>
      <c r="J51" s="146"/>
      <c r="K51" s="138">
        <v>2</v>
      </c>
      <c r="L51" s="45"/>
      <c r="M51" s="39"/>
    </row>
    <row r="52" spans="1:13" ht="18">
      <c r="A52" s="39"/>
      <c r="B52" s="179"/>
      <c r="C52" s="114"/>
      <c r="D52" s="137"/>
      <c r="E52" s="137"/>
      <c r="F52" s="185" t="s">
        <v>254</v>
      </c>
      <c r="G52" s="165">
        <v>1</v>
      </c>
      <c r="H52" s="186"/>
      <c r="I52" s="133"/>
      <c r="J52" s="146">
        <f>1000000/140</f>
        <v>7142.857142857143</v>
      </c>
      <c r="K52" s="138">
        <v>3</v>
      </c>
      <c r="L52" s="45"/>
      <c r="M52" s="39"/>
    </row>
    <row r="53" spans="1:13" ht="18.75" thickBot="1">
      <c r="A53" s="39"/>
      <c r="B53" s="141"/>
      <c r="C53" s="142"/>
      <c r="D53" s="143"/>
      <c r="E53" s="143"/>
      <c r="F53" s="185"/>
      <c r="G53" s="144"/>
      <c r="H53" s="187"/>
      <c r="I53" s="188"/>
      <c r="J53" s="189"/>
      <c r="K53" s="139">
        <v>4</v>
      </c>
      <c r="L53" s="45"/>
      <c r="M53" s="39"/>
    </row>
    <row r="54" spans="1:13" ht="18">
      <c r="A54" s="39"/>
      <c r="B54" s="172" t="s">
        <v>138</v>
      </c>
      <c r="C54" s="190" t="s">
        <v>22</v>
      </c>
      <c r="D54" s="174">
        <f>SUM(J55:J70)</f>
        <v>26997.42857142858</v>
      </c>
      <c r="E54" s="174">
        <f>D54/12</f>
        <v>2249.785714285715</v>
      </c>
      <c r="F54" s="191" t="s">
        <v>21</v>
      </c>
      <c r="G54" s="176"/>
      <c r="H54" s="192"/>
      <c r="I54" s="193"/>
      <c r="J54" s="194"/>
      <c r="K54" s="178"/>
      <c r="L54" s="45"/>
      <c r="M54" s="39"/>
    </row>
    <row r="55" spans="1:13" ht="18">
      <c r="A55" s="39"/>
      <c r="B55" s="195"/>
      <c r="C55" s="196"/>
      <c r="D55" s="159"/>
      <c r="E55" s="159"/>
      <c r="F55" s="197" t="s">
        <v>282</v>
      </c>
      <c r="G55" s="160" t="s">
        <v>208</v>
      </c>
      <c r="H55" s="198"/>
      <c r="I55" s="162"/>
      <c r="J55" s="163"/>
      <c r="K55" s="164"/>
      <c r="L55" s="45"/>
      <c r="M55" s="39"/>
    </row>
    <row r="56" spans="1:13" ht="18">
      <c r="A56" s="39"/>
      <c r="B56" s="195"/>
      <c r="C56" s="196"/>
      <c r="D56" s="159"/>
      <c r="E56" s="159"/>
      <c r="F56" s="196" t="s">
        <v>281</v>
      </c>
      <c r="G56" s="160">
        <f>104*4.3</f>
        <v>447.2</v>
      </c>
      <c r="H56" s="161">
        <f>200/140</f>
        <v>1.4285714285714286</v>
      </c>
      <c r="I56" s="162">
        <f>G56*H56</f>
        <v>638.8571428571429</v>
      </c>
      <c r="J56" s="163">
        <f>I56*12</f>
        <v>7666.285714285715</v>
      </c>
      <c r="K56" s="164"/>
      <c r="L56" s="147"/>
      <c r="M56" s="39"/>
    </row>
    <row r="57" spans="1:13" ht="18">
      <c r="A57" s="39"/>
      <c r="B57" s="195"/>
      <c r="C57" s="196"/>
      <c r="D57" s="159"/>
      <c r="E57" s="159"/>
      <c r="F57" s="196"/>
      <c r="G57" s="160"/>
      <c r="H57" s="161">
        <f>H56</f>
        <v>1.4285714285714286</v>
      </c>
      <c r="I57" s="162">
        <f>G57*H57</f>
        <v>0</v>
      </c>
      <c r="J57" s="163">
        <f>I57*12</f>
        <v>0</v>
      </c>
      <c r="K57" s="164"/>
      <c r="L57" s="45"/>
      <c r="M57" s="39"/>
    </row>
    <row r="58" spans="1:13" ht="18">
      <c r="A58" s="39"/>
      <c r="B58" s="195"/>
      <c r="C58" s="196"/>
      <c r="D58" s="159"/>
      <c r="E58" s="159"/>
      <c r="F58" s="196" t="s">
        <v>283</v>
      </c>
      <c r="G58" s="160">
        <v>3</v>
      </c>
      <c r="H58" s="161">
        <f>180000/140</f>
        <v>1285.7142857142858</v>
      </c>
      <c r="I58" s="162"/>
      <c r="J58" s="163">
        <f>G58*H58</f>
        <v>3857.1428571428573</v>
      </c>
      <c r="K58" s="164"/>
      <c r="L58" s="45"/>
      <c r="M58" s="39"/>
    </row>
    <row r="59" spans="1:13" ht="18">
      <c r="A59" s="39"/>
      <c r="B59" s="195"/>
      <c r="C59" s="199"/>
      <c r="D59" s="159"/>
      <c r="E59" s="159"/>
      <c r="F59" s="197" t="s">
        <v>284</v>
      </c>
      <c r="G59" s="160"/>
      <c r="H59" s="198"/>
      <c r="I59" s="162"/>
      <c r="J59" s="163"/>
      <c r="K59" s="164"/>
      <c r="L59" s="45"/>
      <c r="M59" s="39"/>
    </row>
    <row r="60" spans="1:13" ht="18">
      <c r="A60" s="39"/>
      <c r="B60" s="200"/>
      <c r="C60" s="201"/>
      <c r="D60" s="130"/>
      <c r="E60" s="130"/>
      <c r="F60" s="201" t="s">
        <v>285</v>
      </c>
      <c r="G60" s="114">
        <f>300*2/10</f>
        <v>60</v>
      </c>
      <c r="H60" s="132">
        <f>H57</f>
        <v>1.4285714285714286</v>
      </c>
      <c r="I60" s="162">
        <f>G60*H60</f>
        <v>85.71428571428572</v>
      </c>
      <c r="J60" s="163">
        <f>I60*12</f>
        <v>1028.5714285714287</v>
      </c>
      <c r="K60" s="138">
        <v>1</v>
      </c>
      <c r="L60" s="45"/>
      <c r="M60" s="39"/>
    </row>
    <row r="61" spans="1:13" ht="18">
      <c r="A61" s="39"/>
      <c r="B61" s="200"/>
      <c r="C61" s="201"/>
      <c r="D61" s="130"/>
      <c r="E61" s="130"/>
      <c r="F61" s="201" t="s">
        <v>286</v>
      </c>
      <c r="G61" s="114">
        <v>4</v>
      </c>
      <c r="H61" s="132">
        <f>90000/140</f>
        <v>642.8571428571429</v>
      </c>
      <c r="I61" s="162"/>
      <c r="J61" s="163">
        <f>G61*H61</f>
        <v>2571.4285714285716</v>
      </c>
      <c r="K61" s="138"/>
      <c r="L61" s="45"/>
      <c r="M61" s="39"/>
    </row>
    <row r="62" spans="1:13" ht="18">
      <c r="A62" s="39"/>
      <c r="B62" s="202"/>
      <c r="C62" s="114"/>
      <c r="D62" s="114"/>
      <c r="E62" s="114"/>
      <c r="F62" s="203" t="s">
        <v>209</v>
      </c>
      <c r="G62" s="114"/>
      <c r="H62" s="204"/>
      <c r="I62" s="133"/>
      <c r="J62" s="205"/>
      <c r="K62" s="138">
        <v>2</v>
      </c>
      <c r="L62" s="147"/>
      <c r="M62" s="39"/>
    </row>
    <row r="63" spans="1:13" ht="18">
      <c r="A63" s="39"/>
      <c r="B63" s="123"/>
      <c r="C63" s="114"/>
      <c r="D63" s="114"/>
      <c r="E63" s="114"/>
      <c r="F63" s="201" t="s">
        <v>210</v>
      </c>
      <c r="G63" s="114">
        <f>30*4.33</f>
        <v>129.9</v>
      </c>
      <c r="H63" s="132">
        <f>H60</f>
        <v>1.4285714285714286</v>
      </c>
      <c r="I63" s="162">
        <f>G63*H63</f>
        <v>185.57142857142858</v>
      </c>
      <c r="J63" s="163">
        <f>I63*12</f>
        <v>2226.857142857143</v>
      </c>
      <c r="K63" s="138"/>
      <c r="L63" s="45"/>
      <c r="M63" s="39"/>
    </row>
    <row r="64" spans="1:13" ht="18">
      <c r="A64" s="39"/>
      <c r="B64" s="206"/>
      <c r="C64" s="142"/>
      <c r="D64" s="142"/>
      <c r="E64" s="142"/>
      <c r="F64" s="207" t="s">
        <v>211</v>
      </c>
      <c r="G64" s="142">
        <f>30*3</f>
        <v>90</v>
      </c>
      <c r="H64" s="132">
        <f>200/140</f>
        <v>1.4285714285714286</v>
      </c>
      <c r="I64" s="162">
        <f>G64*H64</f>
        <v>128.57142857142858</v>
      </c>
      <c r="J64" s="163">
        <f>I64*12</f>
        <v>1542.8571428571431</v>
      </c>
      <c r="K64" s="139"/>
      <c r="L64" s="45"/>
      <c r="M64" s="39"/>
    </row>
    <row r="65" spans="1:13" ht="18">
      <c r="A65" s="39"/>
      <c r="B65" s="206"/>
      <c r="C65" s="142"/>
      <c r="D65" s="142"/>
      <c r="E65" s="142"/>
      <c r="F65" s="207" t="s">
        <v>212</v>
      </c>
      <c r="G65" s="114">
        <v>2</v>
      </c>
      <c r="H65" s="132">
        <f>140000/140</f>
        <v>1000</v>
      </c>
      <c r="I65" s="162"/>
      <c r="J65" s="163">
        <f>G65*H65</f>
        <v>2000</v>
      </c>
      <c r="K65" s="139"/>
      <c r="L65" s="45"/>
      <c r="M65" s="39"/>
    </row>
    <row r="66" spans="1:13" ht="18">
      <c r="A66" s="39"/>
      <c r="B66" s="206"/>
      <c r="C66" s="142"/>
      <c r="D66" s="142"/>
      <c r="E66" s="142"/>
      <c r="F66" s="208" t="s">
        <v>288</v>
      </c>
      <c r="G66" s="114"/>
      <c r="H66" s="132">
        <f>197/140</f>
        <v>1.4071428571428573</v>
      </c>
      <c r="I66" s="162">
        <f>G66*H66</f>
        <v>0</v>
      </c>
      <c r="J66" s="163">
        <f>I66*12</f>
        <v>0</v>
      </c>
      <c r="K66" s="139"/>
      <c r="L66" s="45"/>
      <c r="M66" s="39"/>
    </row>
    <row r="67" spans="1:13" ht="18">
      <c r="A67" s="39"/>
      <c r="B67" s="206"/>
      <c r="C67" s="142"/>
      <c r="D67" s="142"/>
      <c r="E67" s="142"/>
      <c r="F67" s="209" t="s">
        <v>287</v>
      </c>
      <c r="G67" s="114">
        <f>40*30/8</f>
        <v>150</v>
      </c>
      <c r="H67" s="132">
        <f>H66</f>
        <v>1.4071428571428573</v>
      </c>
      <c r="I67" s="162">
        <f>G67*H67</f>
        <v>211.07142857142858</v>
      </c>
      <c r="J67" s="163">
        <f>I67*12</f>
        <v>2532.857142857143</v>
      </c>
      <c r="K67" s="139"/>
      <c r="L67" s="45"/>
      <c r="M67" s="39"/>
    </row>
    <row r="68" spans="1:13" ht="18">
      <c r="A68" s="39"/>
      <c r="B68" s="206"/>
      <c r="C68" s="142"/>
      <c r="D68" s="142"/>
      <c r="E68" s="142"/>
      <c r="F68" s="209" t="s">
        <v>289</v>
      </c>
      <c r="G68" s="114"/>
      <c r="H68" s="132"/>
      <c r="I68" s="162"/>
      <c r="J68" s="163"/>
      <c r="K68" s="139"/>
      <c r="L68" s="45"/>
      <c r="M68" s="39"/>
    </row>
    <row r="69" spans="1:13" ht="18">
      <c r="A69" s="39"/>
      <c r="B69" s="206"/>
      <c r="C69" s="142"/>
      <c r="D69" s="142"/>
      <c r="E69" s="142"/>
      <c r="F69" s="209"/>
      <c r="G69" s="114"/>
      <c r="H69" s="132">
        <f>25000/140</f>
        <v>178.57142857142858</v>
      </c>
      <c r="I69" s="162"/>
      <c r="J69" s="163">
        <f>G69*G69*H69</f>
        <v>0</v>
      </c>
      <c r="K69" s="139"/>
      <c r="L69" s="45"/>
      <c r="M69" s="39"/>
    </row>
    <row r="70" spans="1:13" ht="18">
      <c r="A70" s="39"/>
      <c r="B70" s="206"/>
      <c r="C70" s="142"/>
      <c r="D70" s="142"/>
      <c r="E70" s="142"/>
      <c r="F70" s="209" t="s">
        <v>213</v>
      </c>
      <c r="G70" s="114">
        <v>1</v>
      </c>
      <c r="H70" s="132">
        <f>500000/140</f>
        <v>3571.4285714285716</v>
      </c>
      <c r="I70" s="162"/>
      <c r="J70" s="163">
        <f>G70*H70</f>
        <v>3571.4285714285716</v>
      </c>
      <c r="K70" s="139"/>
      <c r="L70" s="45"/>
      <c r="M70" s="39"/>
    </row>
    <row r="71" spans="1:13" ht="18.75" thickBot="1">
      <c r="A71" s="39"/>
      <c r="B71" s="210"/>
      <c r="C71" s="149"/>
      <c r="D71" s="149"/>
      <c r="E71" s="149"/>
      <c r="F71" s="211"/>
      <c r="G71" s="149"/>
      <c r="H71" s="152"/>
      <c r="I71" s="153"/>
      <c r="J71" s="212"/>
      <c r="K71" s="155"/>
      <c r="L71" s="45"/>
      <c r="M71" s="39"/>
    </row>
    <row r="72" spans="1:13" ht="18">
      <c r="A72" s="39"/>
      <c r="B72" s="213"/>
      <c r="C72" s="214"/>
      <c r="D72" s="214"/>
      <c r="E72" s="214"/>
      <c r="F72" s="215"/>
      <c r="G72" s="216"/>
      <c r="H72" s="217"/>
      <c r="I72" s="217"/>
      <c r="J72" s="159"/>
      <c r="K72" s="48"/>
      <c r="L72" s="45"/>
      <c r="M72" s="39"/>
    </row>
    <row r="73" spans="1:13" ht="18">
      <c r="A73" s="39"/>
      <c r="B73" s="213"/>
      <c r="C73" s="214"/>
      <c r="D73" s="214"/>
      <c r="E73" s="214"/>
      <c r="F73" s="209"/>
      <c r="G73" s="114"/>
      <c r="H73" s="167"/>
      <c r="I73" s="167"/>
      <c r="J73" s="130"/>
      <c r="K73" s="48"/>
      <c r="L73" s="45"/>
      <c r="M73" s="39"/>
    </row>
    <row r="74" spans="1:13" ht="18">
      <c r="A74" s="39"/>
      <c r="B74" s="218"/>
      <c r="C74" s="216"/>
      <c r="D74" s="219"/>
      <c r="E74" s="219"/>
      <c r="F74" s="209"/>
      <c r="G74" s="165"/>
      <c r="H74" s="220"/>
      <c r="I74" s="167"/>
      <c r="J74" s="221"/>
      <c r="K74" s="222"/>
      <c r="L74" s="45"/>
      <c r="M74" s="39"/>
    </row>
    <row r="75" spans="1:13" ht="18">
      <c r="A75" s="39"/>
      <c r="B75" s="223" t="s">
        <v>139</v>
      </c>
      <c r="C75" s="157" t="s">
        <v>50</v>
      </c>
      <c r="D75" s="158">
        <v>142800</v>
      </c>
      <c r="E75" s="158">
        <f>D75/12</f>
        <v>11900</v>
      </c>
      <c r="F75" s="203" t="s">
        <v>235</v>
      </c>
      <c r="G75" s="131"/>
      <c r="H75" s="220"/>
      <c r="I75" s="167"/>
      <c r="J75" s="130"/>
      <c r="K75" s="135">
        <v>1</v>
      </c>
      <c r="L75" s="45"/>
      <c r="M75" s="39"/>
    </row>
    <row r="76" spans="1:13" ht="18">
      <c r="A76" s="39"/>
      <c r="B76" s="136"/>
      <c r="C76" s="114"/>
      <c r="D76" s="137"/>
      <c r="E76" s="224"/>
      <c r="F76" s="225" t="s">
        <v>240</v>
      </c>
      <c r="G76" s="165">
        <v>30</v>
      </c>
      <c r="H76" s="167">
        <f>25000/140</f>
        <v>178.57142857142858</v>
      </c>
      <c r="I76" s="167">
        <f>G76*H76</f>
        <v>5357.142857142858</v>
      </c>
      <c r="J76" s="130">
        <f aca="true" t="shared" si="4" ref="J76:J89">I76*12</f>
        <v>64285.71428571429</v>
      </c>
      <c r="K76" s="138">
        <v>2</v>
      </c>
      <c r="L76" s="147"/>
      <c r="M76" s="39"/>
    </row>
    <row r="77" spans="1:13" ht="18">
      <c r="A77" s="39"/>
      <c r="B77" s="136"/>
      <c r="C77" s="114"/>
      <c r="D77" s="137"/>
      <c r="E77" s="226"/>
      <c r="F77" s="225" t="s">
        <v>239</v>
      </c>
      <c r="G77" s="165">
        <v>4.33</v>
      </c>
      <c r="H77" s="167">
        <f>100000/140</f>
        <v>714.2857142857143</v>
      </c>
      <c r="I77" s="167">
        <f aca="true" t="shared" si="5" ref="I77:I88">G77*H77</f>
        <v>3092.857142857143</v>
      </c>
      <c r="J77" s="130">
        <f t="shared" si="4"/>
        <v>37114.28571428572</v>
      </c>
      <c r="K77" s="138">
        <v>3</v>
      </c>
      <c r="L77" s="45"/>
      <c r="M77" s="39"/>
    </row>
    <row r="78" spans="1:13" ht="18">
      <c r="A78" s="39"/>
      <c r="B78" s="121"/>
      <c r="C78" s="120"/>
      <c r="D78" s="226"/>
      <c r="E78" s="226"/>
      <c r="F78" s="225" t="s">
        <v>241</v>
      </c>
      <c r="G78" s="165">
        <v>20</v>
      </c>
      <c r="H78" s="167">
        <f>1000/140</f>
        <v>7.142857142857143</v>
      </c>
      <c r="I78" s="167">
        <f t="shared" si="5"/>
        <v>142.85714285714286</v>
      </c>
      <c r="J78" s="130">
        <f t="shared" si="4"/>
        <v>1714.2857142857142</v>
      </c>
      <c r="K78" s="227">
        <v>4</v>
      </c>
      <c r="L78" s="119"/>
      <c r="M78" s="39"/>
    </row>
    <row r="79" spans="1:13" ht="18">
      <c r="A79" s="39"/>
      <c r="B79" s="136"/>
      <c r="C79" s="114"/>
      <c r="D79" s="137"/>
      <c r="E79" s="226"/>
      <c r="F79" s="225" t="s">
        <v>257</v>
      </c>
      <c r="G79" s="165">
        <v>100</v>
      </c>
      <c r="H79" s="228">
        <f>2425/140</f>
        <v>17.321428571428573</v>
      </c>
      <c r="I79" s="133">
        <f t="shared" si="5"/>
        <v>1732.1428571428573</v>
      </c>
      <c r="J79" s="134">
        <f t="shared" si="4"/>
        <v>20785.71428571429</v>
      </c>
      <c r="K79" s="138">
        <v>5</v>
      </c>
      <c r="L79" s="45"/>
      <c r="M79" s="39"/>
    </row>
    <row r="80" spans="1:13" ht="18">
      <c r="A80" s="39"/>
      <c r="B80" s="136"/>
      <c r="C80" s="114"/>
      <c r="D80" s="137" t="s">
        <v>242</v>
      </c>
      <c r="E80" s="226"/>
      <c r="F80" s="225" t="s">
        <v>258</v>
      </c>
      <c r="G80" s="165">
        <v>100</v>
      </c>
      <c r="H80" s="132">
        <f>2600/140</f>
        <v>18.571428571428573</v>
      </c>
      <c r="I80" s="133">
        <f t="shared" si="5"/>
        <v>1857.1428571428573</v>
      </c>
      <c r="J80" s="134">
        <f t="shared" si="4"/>
        <v>22285.71428571429</v>
      </c>
      <c r="K80" s="138">
        <v>6</v>
      </c>
      <c r="L80" s="45"/>
      <c r="M80" s="39"/>
    </row>
    <row r="81" spans="1:13" ht="18">
      <c r="A81" s="39"/>
      <c r="B81" s="136"/>
      <c r="C81" s="114"/>
      <c r="D81" s="137"/>
      <c r="E81" s="226"/>
      <c r="F81" s="225" t="s">
        <v>259</v>
      </c>
      <c r="G81" s="165">
        <v>30</v>
      </c>
      <c r="H81" s="132">
        <f>10000/140</f>
        <v>71.42857142857143</v>
      </c>
      <c r="I81" s="133">
        <f t="shared" si="5"/>
        <v>2142.857142857143</v>
      </c>
      <c r="J81" s="134">
        <f t="shared" si="4"/>
        <v>25714.285714285717</v>
      </c>
      <c r="K81" s="138">
        <v>7</v>
      </c>
      <c r="L81" s="45"/>
      <c r="M81" s="39"/>
    </row>
    <row r="82" spans="1:13" ht="18">
      <c r="A82" s="39"/>
      <c r="B82" s="136"/>
      <c r="C82" s="114"/>
      <c r="D82" s="137"/>
      <c r="E82" s="226"/>
      <c r="F82" s="225" t="s">
        <v>260</v>
      </c>
      <c r="G82" s="165">
        <v>30</v>
      </c>
      <c r="H82" s="132">
        <f>995/140</f>
        <v>7.107142857142857</v>
      </c>
      <c r="I82" s="133">
        <f t="shared" si="5"/>
        <v>213.2142857142857</v>
      </c>
      <c r="J82" s="134">
        <f t="shared" si="4"/>
        <v>2558.5714285714284</v>
      </c>
      <c r="K82" s="138">
        <v>8</v>
      </c>
      <c r="L82" s="45"/>
      <c r="M82" s="39"/>
    </row>
    <row r="83" spans="1:13" ht="18">
      <c r="A83" s="39"/>
      <c r="B83" s="136"/>
      <c r="C83" s="114"/>
      <c r="D83" s="137"/>
      <c r="E83" s="226"/>
      <c r="F83" s="201" t="s">
        <v>263</v>
      </c>
      <c r="G83" s="165">
        <f>5*30</f>
        <v>150</v>
      </c>
      <c r="H83" s="132">
        <f>493/140</f>
        <v>3.5214285714285714</v>
      </c>
      <c r="I83" s="133">
        <f t="shared" si="5"/>
        <v>528.2142857142857</v>
      </c>
      <c r="J83" s="134">
        <f t="shared" si="4"/>
        <v>6338.5714285714275</v>
      </c>
      <c r="K83" s="138">
        <v>9</v>
      </c>
      <c r="L83" s="45"/>
      <c r="M83" s="39"/>
    </row>
    <row r="84" spans="1:13" ht="18">
      <c r="A84" s="39"/>
      <c r="B84" s="136"/>
      <c r="C84" s="114"/>
      <c r="D84" s="137"/>
      <c r="E84" s="226"/>
      <c r="F84" s="201" t="s">
        <v>261</v>
      </c>
      <c r="G84" s="165">
        <f>8*30</f>
        <v>240</v>
      </c>
      <c r="H84" s="132">
        <f>285/140</f>
        <v>2.0357142857142856</v>
      </c>
      <c r="I84" s="133">
        <f t="shared" si="5"/>
        <v>488.57142857142856</v>
      </c>
      <c r="J84" s="134">
        <f t="shared" si="4"/>
        <v>5862.857142857143</v>
      </c>
      <c r="K84" s="138">
        <v>10</v>
      </c>
      <c r="L84" s="45"/>
      <c r="M84" s="39"/>
    </row>
    <row r="85" spans="1:13" ht="18">
      <c r="A85" s="39"/>
      <c r="B85" s="136"/>
      <c r="C85" s="114"/>
      <c r="D85" s="137"/>
      <c r="E85" s="226"/>
      <c r="F85" s="201" t="s">
        <v>196</v>
      </c>
      <c r="G85" s="165">
        <v>4.33</v>
      </c>
      <c r="H85" s="132">
        <f>60000/140</f>
        <v>428.57142857142856</v>
      </c>
      <c r="I85" s="133">
        <f t="shared" si="5"/>
        <v>1855.7142857142858</v>
      </c>
      <c r="J85" s="134">
        <f t="shared" si="4"/>
        <v>22268.571428571428</v>
      </c>
      <c r="K85" s="138">
        <v>11</v>
      </c>
      <c r="L85" s="45"/>
      <c r="M85" s="39"/>
    </row>
    <row r="86" spans="1:13" ht="18">
      <c r="A86" s="39"/>
      <c r="B86" s="136"/>
      <c r="C86" s="114"/>
      <c r="D86" s="137"/>
      <c r="E86" s="226"/>
      <c r="F86" s="201" t="s">
        <v>264</v>
      </c>
      <c r="G86" s="165">
        <v>3</v>
      </c>
      <c r="H86" s="229">
        <f>6700/140</f>
        <v>47.857142857142854</v>
      </c>
      <c r="I86" s="133">
        <f t="shared" si="5"/>
        <v>143.57142857142856</v>
      </c>
      <c r="J86" s="134">
        <f>I86*12</f>
        <v>1722.8571428571427</v>
      </c>
      <c r="K86" s="138">
        <v>12</v>
      </c>
      <c r="L86" s="45"/>
      <c r="M86" s="39"/>
    </row>
    <row r="87" spans="1:13" ht="18">
      <c r="A87" s="39"/>
      <c r="B87" s="136"/>
      <c r="C87" s="114"/>
      <c r="D87" s="137"/>
      <c r="E87" s="226"/>
      <c r="F87" s="201" t="s">
        <v>243</v>
      </c>
      <c r="G87" s="165">
        <f>2*30*120</f>
        <v>7200</v>
      </c>
      <c r="H87" s="132">
        <f>600/140/12/10</f>
        <v>0.03571428571428571</v>
      </c>
      <c r="I87" s="133">
        <f t="shared" si="5"/>
        <v>257.1428571428571</v>
      </c>
      <c r="J87" s="134">
        <f t="shared" si="4"/>
        <v>3085.7142857142853</v>
      </c>
      <c r="K87" s="138">
        <v>13</v>
      </c>
      <c r="L87" s="45"/>
      <c r="M87" s="39"/>
    </row>
    <row r="88" spans="1:13" ht="18">
      <c r="A88" s="39"/>
      <c r="B88" s="136"/>
      <c r="C88" s="114"/>
      <c r="D88" s="137"/>
      <c r="E88" s="226"/>
      <c r="F88" s="201" t="s">
        <v>265</v>
      </c>
      <c r="G88" s="165">
        <f>600*30</f>
        <v>18000</v>
      </c>
      <c r="H88" s="132">
        <f>20/140</f>
        <v>0.14285714285714285</v>
      </c>
      <c r="I88" s="133">
        <f t="shared" si="5"/>
        <v>2571.428571428571</v>
      </c>
      <c r="J88" s="134">
        <f t="shared" si="4"/>
        <v>30857.142857142855</v>
      </c>
      <c r="K88" s="138">
        <v>14</v>
      </c>
      <c r="L88" s="45"/>
      <c r="M88" s="39"/>
    </row>
    <row r="89" spans="1:13" ht="18">
      <c r="A89" s="39"/>
      <c r="B89" s="136"/>
      <c r="C89" s="114"/>
      <c r="D89" s="137"/>
      <c r="E89" s="226"/>
      <c r="F89" s="201" t="s">
        <v>262</v>
      </c>
      <c r="G89" s="165">
        <f>2*2+4.33</f>
        <v>8.33</v>
      </c>
      <c r="H89" s="132">
        <f>10000/140</f>
        <v>71.42857142857143</v>
      </c>
      <c r="I89" s="133">
        <f>H89*30.42</f>
        <v>2172.857142857143</v>
      </c>
      <c r="J89" s="146">
        <f t="shared" si="4"/>
        <v>26074.285714285717</v>
      </c>
      <c r="K89" s="138"/>
      <c r="L89" s="45"/>
      <c r="M89" s="39"/>
    </row>
    <row r="90" spans="1:13" ht="18.75" thickBot="1">
      <c r="A90" s="39"/>
      <c r="B90" s="136"/>
      <c r="C90" s="114"/>
      <c r="D90" s="137"/>
      <c r="E90" s="226"/>
      <c r="F90" s="230" t="s">
        <v>290</v>
      </c>
      <c r="G90" s="165"/>
      <c r="H90" s="186"/>
      <c r="I90" s="133"/>
      <c r="K90" s="138"/>
      <c r="L90" s="231"/>
      <c r="M90" s="39"/>
    </row>
    <row r="91" spans="1:13" ht="18.75" thickBot="1">
      <c r="A91" s="39"/>
      <c r="B91" s="136"/>
      <c r="C91" s="114"/>
      <c r="D91" s="137"/>
      <c r="E91" s="226"/>
      <c r="F91" s="232"/>
      <c r="G91" s="151"/>
      <c r="H91" s="233"/>
      <c r="I91" s="153"/>
      <c r="J91" s="154"/>
      <c r="K91" s="138"/>
      <c r="L91" s="45"/>
      <c r="M91" s="39"/>
    </row>
    <row r="92" spans="1:13" ht="18">
      <c r="A92" s="39"/>
      <c r="B92" s="127" t="s">
        <v>140</v>
      </c>
      <c r="C92" s="128" t="s">
        <v>49</v>
      </c>
      <c r="D92" s="129">
        <f>SUM(J93:J121)</f>
        <v>118789.53461904761</v>
      </c>
      <c r="E92" s="234">
        <f>D92/12</f>
        <v>9899.127884920634</v>
      </c>
      <c r="F92" s="197" t="s">
        <v>236</v>
      </c>
      <c r="G92" s="160"/>
      <c r="H92" s="161"/>
      <c r="I92" s="162"/>
      <c r="J92" s="163"/>
      <c r="K92" s="135">
        <v>1</v>
      </c>
      <c r="L92" s="147"/>
      <c r="M92" s="39"/>
    </row>
    <row r="93" spans="1:13" ht="18">
      <c r="A93" s="39"/>
      <c r="B93" s="136"/>
      <c r="C93" s="114"/>
      <c r="D93" s="137"/>
      <c r="E93" s="226"/>
      <c r="F93" s="201" t="s">
        <v>266</v>
      </c>
      <c r="G93" s="160">
        <f>541*2*4.33</f>
        <v>4685.06</v>
      </c>
      <c r="H93" s="161">
        <f>1209/72/140</f>
        <v>0.1199404761904762</v>
      </c>
      <c r="I93" s="162">
        <f>G93*H93</f>
        <v>561.9283273809524</v>
      </c>
      <c r="J93" s="163">
        <f>I93*12</f>
        <v>6743.139928571429</v>
      </c>
      <c r="K93" s="138">
        <v>2</v>
      </c>
      <c r="L93" s="45"/>
      <c r="M93" s="39"/>
    </row>
    <row r="94" spans="1:13" ht="18">
      <c r="A94" s="39"/>
      <c r="B94" s="136"/>
      <c r="C94" s="114"/>
      <c r="D94" s="137"/>
      <c r="E94" s="226"/>
      <c r="F94" s="201" t="s">
        <v>267</v>
      </c>
      <c r="G94" s="165">
        <f>1*541*4.33</f>
        <v>2342.53</v>
      </c>
      <c r="H94" s="132">
        <f>1627/36/140</f>
        <v>0.3228174603174603</v>
      </c>
      <c r="I94" s="133">
        <f>G94*H94</f>
        <v>756.2095853174603</v>
      </c>
      <c r="J94" s="134">
        <f aca="true" t="shared" si="6" ref="J94:J113">I94*12</f>
        <v>9074.515023809523</v>
      </c>
      <c r="K94" s="138">
        <v>3</v>
      </c>
      <c r="L94" s="45"/>
      <c r="M94" s="39"/>
    </row>
    <row r="95" spans="1:13" ht="18">
      <c r="A95" s="39"/>
      <c r="B95" s="136"/>
      <c r="C95" s="114"/>
      <c r="D95" s="137"/>
      <c r="E95" s="226"/>
      <c r="F95" s="201" t="s">
        <v>268</v>
      </c>
      <c r="G95" s="165">
        <f>541*4.33</f>
        <v>2342.53</v>
      </c>
      <c r="H95" s="132">
        <f>1440/12/140</f>
        <v>0.8571428571428571</v>
      </c>
      <c r="I95" s="133">
        <f>G95*H95</f>
        <v>2007.8828571428571</v>
      </c>
      <c r="J95" s="134">
        <f t="shared" si="6"/>
        <v>24094.594285714287</v>
      </c>
      <c r="K95" s="138">
        <v>4</v>
      </c>
      <c r="L95" s="45"/>
      <c r="M95" s="39"/>
    </row>
    <row r="96" spans="1:13" ht="18">
      <c r="A96" s="39"/>
      <c r="B96" s="136"/>
      <c r="C96" s="114"/>
      <c r="D96" s="137"/>
      <c r="E96" s="226"/>
      <c r="F96" s="201" t="s">
        <v>269</v>
      </c>
      <c r="G96" s="165">
        <f>541*4.33</f>
        <v>2342.53</v>
      </c>
      <c r="H96" s="132">
        <f>1125/50/140</f>
        <v>0.16071428571428573</v>
      </c>
      <c r="I96" s="133">
        <f>G96*H96</f>
        <v>376.4780357142858</v>
      </c>
      <c r="J96" s="134">
        <f t="shared" si="6"/>
        <v>4517.736428571429</v>
      </c>
      <c r="K96" s="138">
        <v>5</v>
      </c>
      <c r="L96" s="45"/>
      <c r="M96" s="39"/>
    </row>
    <row r="97" spans="1:13" ht="18">
      <c r="A97" s="39"/>
      <c r="B97" s="136"/>
      <c r="C97" s="114"/>
      <c r="D97" s="137"/>
      <c r="E97" s="226"/>
      <c r="F97" s="201" t="s">
        <v>270</v>
      </c>
      <c r="G97" s="165">
        <v>300</v>
      </c>
      <c r="H97" s="132">
        <f>1684/12/140</f>
        <v>1.0023809523809524</v>
      </c>
      <c r="I97" s="133">
        <f aca="true" t="shared" si="7" ref="I97:I115">G97*H97</f>
        <v>300.7142857142857</v>
      </c>
      <c r="J97" s="134">
        <f t="shared" si="6"/>
        <v>3608.5714285714284</v>
      </c>
      <c r="K97" s="138">
        <v>6</v>
      </c>
      <c r="L97" s="45"/>
      <c r="M97" s="39"/>
    </row>
    <row r="98" spans="1:13" ht="18">
      <c r="A98" s="39"/>
      <c r="B98" s="136"/>
      <c r="C98" s="114"/>
      <c r="D98" s="137"/>
      <c r="E98" s="226"/>
      <c r="F98" s="225" t="s">
        <v>271</v>
      </c>
      <c r="G98" s="235">
        <f>12*20</f>
        <v>240</v>
      </c>
      <c r="H98" s="132">
        <f>330/12/140</f>
        <v>0.19642857142857142</v>
      </c>
      <c r="I98" s="133">
        <f t="shared" si="7"/>
        <v>47.14285714285714</v>
      </c>
      <c r="J98" s="134">
        <f t="shared" si="6"/>
        <v>565.7142857142857</v>
      </c>
      <c r="K98" s="138">
        <v>7</v>
      </c>
      <c r="L98" s="45"/>
      <c r="M98" s="39"/>
    </row>
    <row r="99" spans="1:13" ht="18">
      <c r="A99" s="39"/>
      <c r="B99" s="136"/>
      <c r="C99" s="137"/>
      <c r="D99" s="137"/>
      <c r="E99" s="226"/>
      <c r="F99" s="201" t="s">
        <v>272</v>
      </c>
      <c r="G99" s="165">
        <v>300</v>
      </c>
      <c r="H99" s="132">
        <f>2494/12/140</f>
        <v>1.4845238095238096</v>
      </c>
      <c r="I99" s="133">
        <f t="shared" si="7"/>
        <v>445.3571428571429</v>
      </c>
      <c r="J99" s="134">
        <f t="shared" si="6"/>
        <v>5344.285714285715</v>
      </c>
      <c r="K99" s="138">
        <v>8</v>
      </c>
      <c r="L99" s="45"/>
      <c r="M99" s="39"/>
    </row>
    <row r="100" spans="1:13" ht="18">
      <c r="A100" s="39"/>
      <c r="B100" s="136"/>
      <c r="C100" s="114"/>
      <c r="D100" s="137"/>
      <c r="E100" s="226"/>
      <c r="F100" s="201" t="s">
        <v>244</v>
      </c>
      <c r="G100" s="165">
        <f>53</f>
        <v>53</v>
      </c>
      <c r="H100" s="132">
        <f>4644/140</f>
        <v>33.17142857142857</v>
      </c>
      <c r="I100" s="133">
        <f t="shared" si="7"/>
        <v>1758.0857142857142</v>
      </c>
      <c r="J100" s="134">
        <f t="shared" si="6"/>
        <v>21097.02857142857</v>
      </c>
      <c r="K100" s="138">
        <v>9</v>
      </c>
      <c r="L100" s="45"/>
      <c r="M100" s="39"/>
    </row>
    <row r="101" spans="1:13" ht="18">
      <c r="A101" s="39"/>
      <c r="B101" s="141"/>
      <c r="C101" s="142"/>
      <c r="D101" s="143"/>
      <c r="E101" s="236"/>
      <c r="F101" s="201" t="s">
        <v>273</v>
      </c>
      <c r="G101" s="165">
        <f>1*4.33*20</f>
        <v>86.6</v>
      </c>
      <c r="H101" s="132">
        <f>1132/20/140</f>
        <v>0.4042857142857143</v>
      </c>
      <c r="I101" s="133">
        <f t="shared" si="7"/>
        <v>35.01114285714286</v>
      </c>
      <c r="J101" s="134">
        <f t="shared" si="6"/>
        <v>420.1337142857143</v>
      </c>
      <c r="K101" s="138">
        <v>10</v>
      </c>
      <c r="L101" s="45"/>
      <c r="M101" s="39"/>
    </row>
    <row r="102" spans="1:13" ht="18">
      <c r="A102" s="39"/>
      <c r="B102" s="141"/>
      <c r="C102" s="142"/>
      <c r="D102" s="143"/>
      <c r="E102" s="143"/>
      <c r="F102" s="237" t="s">
        <v>274</v>
      </c>
      <c r="G102" s="238">
        <f>1*4.33*20</f>
        <v>86.6</v>
      </c>
      <c r="H102" s="145">
        <f>500/12/140</f>
        <v>0.2976190476190476</v>
      </c>
      <c r="I102" s="133">
        <f t="shared" si="7"/>
        <v>25.773809523809522</v>
      </c>
      <c r="J102" s="134">
        <f t="shared" si="6"/>
        <v>309.2857142857143</v>
      </c>
      <c r="K102" s="138">
        <v>11</v>
      </c>
      <c r="L102" s="45"/>
      <c r="M102" s="39"/>
    </row>
    <row r="103" spans="1:13" ht="18">
      <c r="A103" s="39"/>
      <c r="B103" s="141"/>
      <c r="C103" s="142"/>
      <c r="D103" s="143"/>
      <c r="E103" s="143"/>
      <c r="F103" s="237" t="s">
        <v>197</v>
      </c>
      <c r="G103" s="239">
        <f>6*4.33*10</f>
        <v>259.8</v>
      </c>
      <c r="H103" s="145">
        <f>370/12/140</f>
        <v>0.22023809523809523</v>
      </c>
      <c r="I103" s="133">
        <f t="shared" si="7"/>
        <v>57.21785714285714</v>
      </c>
      <c r="J103" s="134">
        <f t="shared" si="6"/>
        <v>686.6142857142856</v>
      </c>
      <c r="K103" s="138">
        <v>12</v>
      </c>
      <c r="L103" s="45"/>
      <c r="M103" s="39"/>
    </row>
    <row r="104" spans="1:13" ht="18">
      <c r="A104" s="39"/>
      <c r="B104" s="141"/>
      <c r="C104" s="142"/>
      <c r="D104" s="143"/>
      <c r="E104" s="143"/>
      <c r="F104" s="237" t="s">
        <v>198</v>
      </c>
      <c r="G104" s="238">
        <v>10</v>
      </c>
      <c r="H104" s="240">
        <f>1008/100/140</f>
        <v>0.072</v>
      </c>
      <c r="I104" s="133">
        <f t="shared" si="7"/>
        <v>0.72</v>
      </c>
      <c r="J104" s="134">
        <f>I104*4</f>
        <v>2.88</v>
      </c>
      <c r="K104" s="138">
        <v>13</v>
      </c>
      <c r="L104" s="45"/>
      <c r="M104" s="39"/>
    </row>
    <row r="105" spans="1:13" ht="18">
      <c r="A105" s="39"/>
      <c r="B105" s="141"/>
      <c r="C105" s="241"/>
      <c r="D105" s="143"/>
      <c r="E105" s="143"/>
      <c r="F105" s="237" t="s">
        <v>199</v>
      </c>
      <c r="G105" s="238">
        <v>10</v>
      </c>
      <c r="H105" s="187">
        <f>798/100/140</f>
        <v>0.057</v>
      </c>
      <c r="I105" s="133">
        <f t="shared" si="7"/>
        <v>0.5700000000000001</v>
      </c>
      <c r="J105" s="134">
        <f t="shared" si="6"/>
        <v>6.840000000000001</v>
      </c>
      <c r="K105" s="138">
        <v>15</v>
      </c>
      <c r="L105" s="45"/>
      <c r="M105" s="39"/>
    </row>
    <row r="106" spans="1:13" ht="18">
      <c r="A106" s="39"/>
      <c r="B106" s="141"/>
      <c r="C106" s="241"/>
      <c r="D106" s="143"/>
      <c r="E106" s="143"/>
      <c r="F106" s="237" t="s">
        <v>275</v>
      </c>
      <c r="G106" s="238">
        <v>20</v>
      </c>
      <c r="H106" s="145">
        <f>885/6/140</f>
        <v>1.0535714285714286</v>
      </c>
      <c r="I106" s="133">
        <f t="shared" si="7"/>
        <v>21.071428571428573</v>
      </c>
      <c r="J106" s="134">
        <f t="shared" si="6"/>
        <v>252.8571428571429</v>
      </c>
      <c r="K106" s="138">
        <v>16</v>
      </c>
      <c r="L106" s="45"/>
      <c r="M106" s="39"/>
    </row>
    <row r="107" spans="1:13" ht="18">
      <c r="A107" s="39"/>
      <c r="B107" s="141"/>
      <c r="C107" s="142"/>
      <c r="D107" s="143"/>
      <c r="E107" s="143"/>
      <c r="F107" s="237" t="s">
        <v>200</v>
      </c>
      <c r="G107" s="238">
        <v>10</v>
      </c>
      <c r="H107" s="187">
        <v>3.5</v>
      </c>
      <c r="I107" s="133">
        <f t="shared" si="7"/>
        <v>35</v>
      </c>
      <c r="J107" s="134">
        <f t="shared" si="6"/>
        <v>420</v>
      </c>
      <c r="K107" s="138">
        <v>17</v>
      </c>
      <c r="L107" s="45"/>
      <c r="M107" s="39"/>
    </row>
    <row r="108" spans="1:13" ht="18">
      <c r="A108" s="39"/>
      <c r="B108" s="141"/>
      <c r="C108" s="142"/>
      <c r="D108" s="143"/>
      <c r="E108" s="143"/>
      <c r="F108" s="237" t="s">
        <v>201</v>
      </c>
      <c r="G108" s="238">
        <v>4</v>
      </c>
      <c r="H108" s="187">
        <f>994/140</f>
        <v>7.1</v>
      </c>
      <c r="I108" s="133">
        <f t="shared" si="7"/>
        <v>28.4</v>
      </c>
      <c r="J108" s="134">
        <f t="shared" si="6"/>
        <v>340.79999999999995</v>
      </c>
      <c r="K108" s="138">
        <v>18</v>
      </c>
      <c r="L108" s="45"/>
      <c r="M108" s="39"/>
    </row>
    <row r="109" spans="1:13" ht="18">
      <c r="A109" s="39"/>
      <c r="B109" s="141"/>
      <c r="C109" s="142"/>
      <c r="D109" s="143"/>
      <c r="E109" s="143"/>
      <c r="F109" s="237" t="s">
        <v>245</v>
      </c>
      <c r="G109" s="239">
        <f>1*4.33*20</f>
        <v>86.6</v>
      </c>
      <c r="H109" s="145">
        <f>2595/6/140</f>
        <v>3.0892857142857144</v>
      </c>
      <c r="I109" s="133">
        <f t="shared" si="7"/>
        <v>267.53214285714284</v>
      </c>
      <c r="J109" s="134">
        <f t="shared" si="6"/>
        <v>3210.385714285714</v>
      </c>
      <c r="K109" s="138">
        <v>19</v>
      </c>
      <c r="L109" s="45"/>
      <c r="M109" s="39"/>
    </row>
    <row r="110" spans="1:13" ht="18">
      <c r="A110" s="39"/>
      <c r="B110" s="141"/>
      <c r="C110" s="142"/>
      <c r="D110" s="143"/>
      <c r="E110" s="143"/>
      <c r="F110" s="237" t="s">
        <v>202</v>
      </c>
      <c r="G110" s="238">
        <v>40</v>
      </c>
      <c r="H110" s="145">
        <f>120/2/140</f>
        <v>0.42857142857142855</v>
      </c>
      <c r="I110" s="133">
        <f t="shared" si="7"/>
        <v>17.142857142857142</v>
      </c>
      <c r="J110" s="134">
        <f t="shared" si="6"/>
        <v>205.71428571428572</v>
      </c>
      <c r="K110" s="138">
        <v>20</v>
      </c>
      <c r="L110" s="45"/>
      <c r="M110" s="39"/>
    </row>
    <row r="111" spans="1:13" ht="18">
      <c r="A111" s="39"/>
      <c r="B111" s="141"/>
      <c r="C111" s="142"/>
      <c r="D111" s="143"/>
      <c r="E111" s="143"/>
      <c r="F111" s="237" t="s">
        <v>203</v>
      </c>
      <c r="G111" s="238">
        <v>300</v>
      </c>
      <c r="H111" s="145">
        <f>100/140</f>
        <v>0.7142857142857143</v>
      </c>
      <c r="I111" s="133">
        <f t="shared" si="7"/>
        <v>214.28571428571428</v>
      </c>
      <c r="J111" s="134">
        <f>I111*4</f>
        <v>857.1428571428571</v>
      </c>
      <c r="K111" s="138">
        <v>21</v>
      </c>
      <c r="L111" s="45"/>
      <c r="M111" s="39"/>
    </row>
    <row r="112" spans="1:13" ht="18">
      <c r="A112" s="39"/>
      <c r="B112" s="141"/>
      <c r="C112" s="142"/>
      <c r="D112" s="143"/>
      <c r="E112" s="143"/>
      <c r="F112" s="237" t="s">
        <v>246</v>
      </c>
      <c r="G112" s="238">
        <v>20</v>
      </c>
      <c r="H112" s="187">
        <v>3.5</v>
      </c>
      <c r="I112" s="133">
        <f t="shared" si="7"/>
        <v>70</v>
      </c>
      <c r="J112" s="134">
        <f>I112*4</f>
        <v>280</v>
      </c>
      <c r="K112" s="138">
        <v>22</v>
      </c>
      <c r="L112" s="45"/>
      <c r="M112" s="39"/>
    </row>
    <row r="113" spans="1:13" ht="18">
      <c r="A113" s="39"/>
      <c r="B113" s="141"/>
      <c r="C113" s="142"/>
      <c r="D113" s="143"/>
      <c r="E113" s="143"/>
      <c r="F113" s="242" t="s">
        <v>247</v>
      </c>
      <c r="G113" s="144">
        <f>2*20</f>
        <v>40</v>
      </c>
      <c r="H113" s="187">
        <v>3.5</v>
      </c>
      <c r="I113" s="133">
        <f t="shared" si="7"/>
        <v>140</v>
      </c>
      <c r="J113" s="134">
        <f t="shared" si="6"/>
        <v>1680</v>
      </c>
      <c r="K113" s="138">
        <v>23</v>
      </c>
      <c r="L113" s="45"/>
      <c r="M113" s="39"/>
    </row>
    <row r="114" spans="1:13" ht="18">
      <c r="A114" s="39"/>
      <c r="B114" s="141"/>
      <c r="C114" s="143"/>
      <c r="D114" s="143"/>
      <c r="E114" s="143"/>
      <c r="F114" s="242" t="s">
        <v>248</v>
      </c>
      <c r="G114" s="144">
        <v>170</v>
      </c>
      <c r="H114" s="145">
        <f>98/12/140</f>
        <v>0.05833333333333333</v>
      </c>
      <c r="I114" s="133">
        <f t="shared" si="7"/>
        <v>9.916666666666666</v>
      </c>
      <c r="J114" s="134">
        <f>I114*4</f>
        <v>39.666666666666664</v>
      </c>
      <c r="K114" s="138">
        <v>24</v>
      </c>
      <c r="L114" s="45"/>
      <c r="M114" s="39"/>
    </row>
    <row r="115" spans="1:13" ht="18">
      <c r="A115" s="39"/>
      <c r="B115" s="141"/>
      <c r="C115" s="142"/>
      <c r="D115" s="143"/>
      <c r="E115" s="243"/>
      <c r="F115" s="242" t="s">
        <v>249</v>
      </c>
      <c r="G115" s="144">
        <v>20</v>
      </c>
      <c r="H115" s="145">
        <f>500/140</f>
        <v>3.5714285714285716</v>
      </c>
      <c r="I115" s="133">
        <f t="shared" si="7"/>
        <v>71.42857142857143</v>
      </c>
      <c r="J115" s="134">
        <f>I115*4</f>
        <v>285.7142857142857</v>
      </c>
      <c r="K115" s="138">
        <v>25</v>
      </c>
      <c r="L115" s="45"/>
      <c r="M115" s="39"/>
    </row>
    <row r="116" spans="1:13" ht="18">
      <c r="A116" s="39"/>
      <c r="B116" s="141"/>
      <c r="C116" s="142"/>
      <c r="D116" s="143"/>
      <c r="E116" s="243"/>
      <c r="F116" s="201" t="s">
        <v>250</v>
      </c>
      <c r="G116" s="165">
        <v>170</v>
      </c>
      <c r="H116" s="132">
        <f>196/10/140</f>
        <v>0.14</v>
      </c>
      <c r="I116" s="133">
        <f>G116*H116</f>
        <v>23.8</v>
      </c>
      <c r="J116" s="134">
        <f>I116*4</f>
        <v>95.2</v>
      </c>
      <c r="K116" s="138">
        <v>26</v>
      </c>
      <c r="L116" s="45"/>
      <c r="M116" s="39"/>
    </row>
    <row r="117" spans="1:13" ht="18">
      <c r="A117" s="39"/>
      <c r="B117" s="141"/>
      <c r="C117" s="142"/>
      <c r="D117" s="143"/>
      <c r="E117" s="243"/>
      <c r="F117" s="201" t="s">
        <v>251</v>
      </c>
      <c r="G117" s="165">
        <v>170</v>
      </c>
      <c r="H117" s="132">
        <f>5/140</f>
        <v>0.03571428571428571</v>
      </c>
      <c r="I117" s="133">
        <f>G117*H117</f>
        <v>6.071428571428571</v>
      </c>
      <c r="J117" s="134">
        <f>I117*6</f>
        <v>36.42857142857143</v>
      </c>
      <c r="K117" s="138">
        <v>27</v>
      </c>
      <c r="L117" s="45"/>
      <c r="M117" s="39"/>
    </row>
    <row r="118" spans="1:13" ht="18">
      <c r="A118" s="39"/>
      <c r="B118" s="136"/>
      <c r="C118" s="114"/>
      <c r="D118" s="137"/>
      <c r="E118" s="137"/>
      <c r="F118" s="201" t="s">
        <v>204</v>
      </c>
      <c r="G118" s="165">
        <v>72</v>
      </c>
      <c r="H118" s="132">
        <f>500/140</f>
        <v>3.5714285714285716</v>
      </c>
      <c r="I118" s="133">
        <v>0</v>
      </c>
      <c r="J118" s="134">
        <f>G118*H118</f>
        <v>257.14285714285717</v>
      </c>
      <c r="K118" s="138">
        <v>28</v>
      </c>
      <c r="L118" s="45"/>
      <c r="M118" s="39"/>
    </row>
    <row r="119" spans="1:13" ht="18">
      <c r="A119" s="39"/>
      <c r="B119" s="136"/>
      <c r="C119" s="114"/>
      <c r="D119" s="137"/>
      <c r="E119" s="137"/>
      <c r="F119" s="201" t="s">
        <v>205</v>
      </c>
      <c r="G119" s="165">
        <v>1010</v>
      </c>
      <c r="H119" s="132">
        <f>1000/140</f>
        <v>7.142857142857143</v>
      </c>
      <c r="I119" s="133">
        <v>0</v>
      </c>
      <c r="J119" s="134">
        <f>G119*H119</f>
        <v>7214.285714285715</v>
      </c>
      <c r="K119" s="138"/>
      <c r="L119" s="45"/>
      <c r="M119" s="39"/>
    </row>
    <row r="120" spans="1:13" ht="18">
      <c r="A120" s="39"/>
      <c r="B120" s="244"/>
      <c r="C120" s="214"/>
      <c r="D120" s="245"/>
      <c r="E120" s="246"/>
      <c r="F120" s="201" t="s">
        <v>206</v>
      </c>
      <c r="G120" s="165">
        <v>400</v>
      </c>
      <c r="H120" s="186">
        <f>3500/140</f>
        <v>25</v>
      </c>
      <c r="I120" s="133">
        <v>0</v>
      </c>
      <c r="J120" s="134">
        <f>G120*H120</f>
        <v>10000</v>
      </c>
      <c r="K120" s="138"/>
      <c r="L120" s="45"/>
      <c r="M120" s="39"/>
    </row>
    <row r="121" spans="1:13" ht="18">
      <c r="A121" s="39"/>
      <c r="B121" s="247"/>
      <c r="C121" s="248"/>
      <c r="D121" s="249"/>
      <c r="E121" s="216"/>
      <c r="F121" s="201" t="s">
        <v>207</v>
      </c>
      <c r="G121" s="165">
        <v>400</v>
      </c>
      <c r="H121" s="132">
        <f>6000/140</f>
        <v>42.857142857142854</v>
      </c>
      <c r="I121" s="133">
        <v>0</v>
      </c>
      <c r="J121" s="134">
        <f>G121*H121</f>
        <v>17142.85714285714</v>
      </c>
      <c r="K121" s="138"/>
      <c r="L121" s="45"/>
      <c r="M121" s="39"/>
    </row>
    <row r="122" spans="1:13" ht="18.75" thickBot="1">
      <c r="A122" s="39"/>
      <c r="B122" s="250"/>
      <c r="C122" s="251"/>
      <c r="D122" s="252"/>
      <c r="E122" s="232"/>
      <c r="F122" s="230" t="s">
        <v>290</v>
      </c>
      <c r="G122" s="232"/>
      <c r="H122" s="152"/>
      <c r="I122" s="153"/>
      <c r="J122" s="231"/>
      <c r="K122" s="135">
        <v>1</v>
      </c>
      <c r="L122" s="147"/>
      <c r="M122" s="39"/>
    </row>
    <row r="123" spans="1:13" ht="18">
      <c r="A123" s="39"/>
      <c r="B123" s="253" t="s">
        <v>141</v>
      </c>
      <c r="C123" s="254" t="s">
        <v>51</v>
      </c>
      <c r="D123" s="255">
        <f>J123</f>
        <v>37000</v>
      </c>
      <c r="E123" s="157"/>
      <c r="F123" s="197" t="s">
        <v>291</v>
      </c>
      <c r="G123" s="196">
        <v>2</v>
      </c>
      <c r="H123" s="161">
        <v>18500</v>
      </c>
      <c r="I123" s="162"/>
      <c r="J123" s="163">
        <f>SUM(G123*H123)</f>
        <v>37000</v>
      </c>
      <c r="K123" s="138"/>
      <c r="L123" s="147"/>
      <c r="M123" s="39"/>
    </row>
    <row r="124" spans="1:13" ht="18.75" thickBot="1">
      <c r="A124" s="39"/>
      <c r="B124" s="256"/>
      <c r="C124" s="248"/>
      <c r="D124" s="249"/>
      <c r="E124" s="216"/>
      <c r="F124" s="257"/>
      <c r="G124" s="232"/>
      <c r="H124" s="258"/>
      <c r="I124" s="153"/>
      <c r="J124" s="154"/>
      <c r="K124" s="138"/>
      <c r="L124" s="45"/>
      <c r="M124" s="39"/>
    </row>
    <row r="125" spans="1:13" ht="18">
      <c r="A125" s="39"/>
      <c r="B125" s="253" t="s">
        <v>143</v>
      </c>
      <c r="C125" s="254" t="s">
        <v>52</v>
      </c>
      <c r="D125" s="255">
        <f>J126</f>
        <v>1080</v>
      </c>
      <c r="E125" s="157"/>
      <c r="F125" s="197"/>
      <c r="G125" s="196"/>
      <c r="H125" s="161"/>
      <c r="I125" s="162"/>
      <c r="J125" s="163"/>
      <c r="K125" s="135"/>
      <c r="L125" s="45"/>
      <c r="M125" s="39"/>
    </row>
    <row r="126" spans="1:13" ht="18">
      <c r="A126" s="39"/>
      <c r="B126" s="256"/>
      <c r="C126" s="248"/>
      <c r="D126" s="249"/>
      <c r="E126" s="216"/>
      <c r="F126" s="201" t="s">
        <v>53</v>
      </c>
      <c r="G126" s="196">
        <v>12</v>
      </c>
      <c r="H126" s="161">
        <v>90</v>
      </c>
      <c r="I126" s="162"/>
      <c r="J126" s="163">
        <f>H126*12</f>
        <v>1080</v>
      </c>
      <c r="K126" s="138"/>
      <c r="L126" s="147"/>
      <c r="M126" s="39"/>
    </row>
    <row r="127" spans="1:13" ht="18.75" thickBot="1">
      <c r="A127" s="39"/>
      <c r="B127" s="259"/>
      <c r="C127" s="142"/>
      <c r="D127" s="142"/>
      <c r="E127" s="142"/>
      <c r="F127" s="230"/>
      <c r="G127" s="142"/>
      <c r="H127" s="260"/>
      <c r="I127" s="261"/>
      <c r="J127" s="262"/>
      <c r="K127" s="139"/>
      <c r="L127" s="45"/>
      <c r="M127" s="39"/>
    </row>
    <row r="128" spans="1:13" ht="18">
      <c r="A128" s="39"/>
      <c r="B128" s="263" t="s">
        <v>193</v>
      </c>
      <c r="C128" s="264" t="s">
        <v>129</v>
      </c>
      <c r="D128" s="265">
        <f>SUM(J129:J139)</f>
        <v>13785.44</v>
      </c>
      <c r="E128" s="190"/>
      <c r="F128" s="196"/>
      <c r="G128" s="175"/>
      <c r="H128" s="266"/>
      <c r="I128" s="193"/>
      <c r="J128" s="194"/>
      <c r="K128" s="178"/>
      <c r="L128" s="45"/>
      <c r="M128" s="39"/>
    </row>
    <row r="129" spans="1:13" ht="18">
      <c r="A129" s="39"/>
      <c r="B129" s="259"/>
      <c r="C129" s="114"/>
      <c r="D129" s="114"/>
      <c r="E129" s="114"/>
      <c r="F129" s="197" t="s">
        <v>130</v>
      </c>
      <c r="G129" s="114"/>
      <c r="H129" s="204"/>
      <c r="I129" s="267"/>
      <c r="J129" s="268"/>
      <c r="K129" s="138"/>
      <c r="L129" s="45"/>
      <c r="M129" s="39"/>
    </row>
    <row r="130" spans="1:13" ht="18">
      <c r="A130" s="39"/>
      <c r="B130" s="114"/>
      <c r="C130" s="216"/>
      <c r="D130" s="216"/>
      <c r="E130" s="216"/>
      <c r="F130" s="201" t="s">
        <v>35</v>
      </c>
      <c r="G130" s="114">
        <v>40</v>
      </c>
      <c r="H130" s="132">
        <f>2500/140</f>
        <v>17.857142857142858</v>
      </c>
      <c r="I130" s="133"/>
      <c r="J130" s="146">
        <f>SUM(G130*H130)</f>
        <v>714.2857142857143</v>
      </c>
      <c r="K130" s="138"/>
      <c r="L130" s="147"/>
      <c r="M130" s="39"/>
    </row>
    <row r="131" spans="1:13" ht="18">
      <c r="A131" s="39"/>
      <c r="B131" s="114"/>
      <c r="C131" s="114"/>
      <c r="D131" s="114"/>
      <c r="E131" s="114"/>
      <c r="F131" s="201" t="s">
        <v>36</v>
      </c>
      <c r="G131" s="114"/>
      <c r="H131" s="132"/>
      <c r="I131" s="133"/>
      <c r="J131" s="146">
        <f>SUM(G131*H131)</f>
        <v>0</v>
      </c>
      <c r="K131" s="138"/>
      <c r="L131" s="45"/>
      <c r="M131" s="39"/>
    </row>
    <row r="132" spans="1:13" ht="18">
      <c r="A132" s="39"/>
      <c r="B132" s="114"/>
      <c r="C132" s="114"/>
      <c r="D132" s="114"/>
      <c r="E132" s="114"/>
      <c r="F132" s="201" t="s">
        <v>37</v>
      </c>
      <c r="G132" s="114">
        <v>6</v>
      </c>
      <c r="H132" s="132">
        <f>302.63/6</f>
        <v>50.43833333333333</v>
      </c>
      <c r="I132" s="133"/>
      <c r="J132" s="146">
        <f>SUM(G132*H132)</f>
        <v>302.63</v>
      </c>
      <c r="K132" s="138"/>
      <c r="L132" s="45"/>
      <c r="M132" s="39"/>
    </row>
    <row r="133" spans="1:13" ht="18">
      <c r="A133" s="39"/>
      <c r="B133" s="114"/>
      <c r="C133" s="114"/>
      <c r="D133" s="114"/>
      <c r="E133" s="114"/>
      <c r="F133" s="201" t="s">
        <v>276</v>
      </c>
      <c r="G133" s="114">
        <v>6</v>
      </c>
      <c r="H133" s="132">
        <f>27.14*6</f>
        <v>162.84</v>
      </c>
      <c r="I133" s="133"/>
      <c r="J133" s="146">
        <f>SUM(G133*H133)</f>
        <v>977.04</v>
      </c>
      <c r="K133" s="138"/>
      <c r="L133" s="45"/>
      <c r="M133" s="39"/>
    </row>
    <row r="134" spans="1:13" ht="18">
      <c r="A134" s="39"/>
      <c r="B134" s="185"/>
      <c r="C134" s="142"/>
      <c r="D134" s="143"/>
      <c r="E134" s="143"/>
      <c r="F134" s="201" t="s">
        <v>38</v>
      </c>
      <c r="G134" s="114">
        <v>31</v>
      </c>
      <c r="H134" s="132">
        <f>2500/140</f>
        <v>17.857142857142858</v>
      </c>
      <c r="I134" s="133"/>
      <c r="J134" s="146">
        <f>G134*H134</f>
        <v>553.5714285714286</v>
      </c>
      <c r="K134" s="138"/>
      <c r="L134" s="45"/>
      <c r="M134" s="39"/>
    </row>
    <row r="135" spans="1:13" ht="18">
      <c r="A135" s="39"/>
      <c r="B135" s="269"/>
      <c r="C135" s="270"/>
      <c r="D135" s="271"/>
      <c r="E135" s="272"/>
      <c r="F135" s="201" t="s">
        <v>39</v>
      </c>
      <c r="G135" s="114"/>
      <c r="H135" s="132">
        <v>921</v>
      </c>
      <c r="I135" s="133"/>
      <c r="J135" s="146">
        <f>H135*1</f>
        <v>921</v>
      </c>
      <c r="K135" s="138"/>
      <c r="L135" s="45"/>
      <c r="M135" s="39"/>
    </row>
    <row r="136" spans="1:13" ht="18">
      <c r="A136" s="39"/>
      <c r="B136" s="183"/>
      <c r="C136" s="216"/>
      <c r="D136" s="219"/>
      <c r="E136" s="219"/>
      <c r="F136" s="201" t="s">
        <v>277</v>
      </c>
      <c r="G136" s="114">
        <v>13</v>
      </c>
      <c r="H136" s="132">
        <f>2500/140</f>
        <v>17.857142857142858</v>
      </c>
      <c r="I136" s="133"/>
      <c r="J136" s="146">
        <f>G136*H136</f>
        <v>232.14285714285714</v>
      </c>
      <c r="K136" s="138"/>
      <c r="L136" s="45"/>
      <c r="M136" s="39"/>
    </row>
    <row r="137" spans="1:13" ht="18">
      <c r="A137" s="39"/>
      <c r="B137" s="185"/>
      <c r="C137" s="114"/>
      <c r="D137" s="137"/>
      <c r="E137" s="137"/>
      <c r="F137" s="201" t="s">
        <v>45</v>
      </c>
      <c r="G137" s="114"/>
      <c r="H137" s="132">
        <v>295.77</v>
      </c>
      <c r="I137" s="133"/>
      <c r="J137" s="146">
        <f>H137*1</f>
        <v>295.77</v>
      </c>
      <c r="K137" s="138"/>
      <c r="L137" s="45"/>
      <c r="M137" s="39"/>
    </row>
    <row r="138" spans="1:13" ht="18">
      <c r="A138" s="39"/>
      <c r="B138" s="185"/>
      <c r="C138" s="114"/>
      <c r="D138" s="137"/>
      <c r="E138" s="137"/>
      <c r="F138" s="201" t="s">
        <v>40</v>
      </c>
      <c r="G138" s="165"/>
      <c r="H138" s="186"/>
      <c r="I138" s="133"/>
      <c r="J138" s="39"/>
      <c r="K138" s="138"/>
      <c r="L138" s="45"/>
      <c r="M138" s="39"/>
    </row>
    <row r="139" spans="1:13" ht="18">
      <c r="A139" s="39"/>
      <c r="B139" s="185"/>
      <c r="C139" s="142"/>
      <c r="D139" s="143"/>
      <c r="E139" s="143"/>
      <c r="F139" s="185" t="s">
        <v>292</v>
      </c>
      <c r="G139" s="144"/>
      <c r="H139" s="187"/>
      <c r="I139" s="188"/>
      <c r="J139" s="146">
        <v>9789</v>
      </c>
      <c r="K139" s="138"/>
      <c r="L139" s="147"/>
      <c r="M139" s="39"/>
    </row>
    <row r="140" spans="1:13" ht="18">
      <c r="A140" s="39"/>
      <c r="B140" s="273"/>
      <c r="C140" s="128"/>
      <c r="D140" s="234">
        <f>SUM(D22:D139)</f>
        <v>491350.0274761905</v>
      </c>
      <c r="E140" s="129"/>
      <c r="F140" s="273" t="s">
        <v>23</v>
      </c>
      <c r="G140" s="274"/>
      <c r="H140" s="275"/>
      <c r="I140" s="276"/>
      <c r="J140" s="277">
        <f>SUM(J22:J139)</f>
        <v>619218.598904762</v>
      </c>
      <c r="K140" s="135"/>
      <c r="L140" s="277"/>
      <c r="M140" s="39"/>
    </row>
    <row r="141" spans="1:13" ht="18">
      <c r="A141" s="39"/>
      <c r="B141" s="203"/>
      <c r="C141" s="114"/>
      <c r="D141" s="137"/>
      <c r="E141" s="137"/>
      <c r="F141" s="203"/>
      <c r="G141" s="114"/>
      <c r="H141" s="278"/>
      <c r="I141" s="279"/>
      <c r="J141" s="146"/>
      <c r="K141" s="138"/>
      <c r="L141" s="119"/>
      <c r="M141" s="39"/>
    </row>
    <row r="142" spans="1:13" ht="18.75" thickBot="1">
      <c r="A142" s="39"/>
      <c r="B142" s="203"/>
      <c r="C142" s="114"/>
      <c r="D142" s="137"/>
      <c r="E142" s="137"/>
      <c r="F142" s="203"/>
      <c r="G142" s="114"/>
      <c r="H142" s="280"/>
      <c r="I142" s="281"/>
      <c r="J142" s="154"/>
      <c r="K142" s="155"/>
      <c r="L142" s="45"/>
      <c r="M142" s="39"/>
    </row>
    <row r="143" ht="12.75">
      <c r="F143" s="2"/>
    </row>
  </sheetData>
  <sheetProtection/>
  <printOptions/>
  <pageMargins left="0.75" right="0.75" top="1" bottom="1" header="0.5" footer="0.5"/>
  <pageSetup horizontalDpi="600" verticalDpi="600" orientation="landscape" paperSize="9" scale="50" r:id="rId1"/>
  <rowBreaks count="1" manualBreakCount="1">
    <brk id="92" max="26" man="1"/>
  </rowBreaks>
  <colBreaks count="1" manualBreakCount="1">
    <brk id="12" max="1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62"/>
  <sheetViews>
    <sheetView view="pageBreakPreview" zoomScale="60" zoomScalePageLayoutView="0" workbookViewId="0" topLeftCell="B31">
      <selection activeCell="D61" sqref="D61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3" width="27.140625" style="0" customWidth="1"/>
    <col min="4" max="4" width="15.57421875" style="0" bestFit="1" customWidth="1"/>
    <col min="5" max="5" width="9.421875" style="0" customWidth="1"/>
    <col min="6" max="6" width="54.421875" style="0" customWidth="1"/>
    <col min="7" max="7" width="8.421875" style="0" customWidth="1"/>
    <col min="8" max="8" width="16.7109375" style="0" customWidth="1"/>
    <col min="9" max="9" width="14.7109375" style="0" customWidth="1"/>
    <col min="10" max="10" width="14.7109375" style="0" bestFit="1" customWidth="1"/>
  </cols>
  <sheetData>
    <row r="1" ht="13.5" thickBot="1"/>
    <row r="2" spans="1:11" ht="18.75">
      <c r="A2" s="39"/>
      <c r="B2" s="106">
        <v>2009</v>
      </c>
      <c r="C2" s="107" t="s">
        <v>146</v>
      </c>
      <c r="D2" s="108"/>
      <c r="E2" s="64"/>
      <c r="F2" s="39"/>
      <c r="G2" s="39"/>
      <c r="H2" s="39"/>
      <c r="I2" s="39"/>
      <c r="J2" s="39"/>
      <c r="K2" s="39"/>
    </row>
    <row r="3" spans="1:11" ht="18">
      <c r="A3" s="39"/>
      <c r="B3" s="81"/>
      <c r="C3" s="61" t="s">
        <v>147</v>
      </c>
      <c r="D3" s="109"/>
      <c r="E3" s="66"/>
      <c r="F3" s="39"/>
      <c r="G3" s="39"/>
      <c r="H3" s="39"/>
      <c r="I3" s="39"/>
      <c r="J3" s="39"/>
      <c r="K3" s="39"/>
    </row>
    <row r="4" spans="1:11" ht="18">
      <c r="A4" s="39"/>
      <c r="B4" s="81"/>
      <c r="C4" s="61"/>
      <c r="D4" s="109"/>
      <c r="E4" s="66"/>
      <c r="F4" s="39"/>
      <c r="G4" s="39"/>
      <c r="H4" s="39"/>
      <c r="I4" s="39"/>
      <c r="J4" s="39"/>
      <c r="K4" s="39"/>
    </row>
    <row r="5" spans="1:11" ht="18">
      <c r="A5" s="39"/>
      <c r="B5" s="81"/>
      <c r="C5" s="61"/>
      <c r="D5" s="109"/>
      <c r="E5" s="66"/>
      <c r="F5" s="39"/>
      <c r="G5" s="39"/>
      <c r="H5" s="39"/>
      <c r="I5" s="39"/>
      <c r="J5" s="39"/>
      <c r="K5" s="39"/>
    </row>
    <row r="6" spans="1:11" ht="18">
      <c r="A6" s="39"/>
      <c r="B6" s="83" t="s">
        <v>144</v>
      </c>
      <c r="C6" s="61" t="s">
        <v>133</v>
      </c>
      <c r="D6" s="85" t="s">
        <v>127</v>
      </c>
      <c r="E6" s="63"/>
      <c r="F6" s="39"/>
      <c r="G6" s="39"/>
      <c r="H6" s="39"/>
      <c r="I6" s="39"/>
      <c r="J6" s="39"/>
      <c r="K6" s="39"/>
    </row>
    <row r="7" spans="1:11" ht="18">
      <c r="A7" s="39"/>
      <c r="B7" s="83" t="s">
        <v>148</v>
      </c>
      <c r="C7" s="61" t="s">
        <v>159</v>
      </c>
      <c r="D7" s="88">
        <f>D20</f>
        <v>55264.5</v>
      </c>
      <c r="E7" s="282"/>
      <c r="F7" s="39"/>
      <c r="G7" s="39"/>
      <c r="H7" s="39"/>
      <c r="I7" s="39"/>
      <c r="J7" s="39"/>
      <c r="K7" s="39"/>
    </row>
    <row r="8" spans="1:11" ht="18">
      <c r="A8" s="39"/>
      <c r="B8" s="83" t="s">
        <v>149</v>
      </c>
      <c r="C8" s="61" t="s">
        <v>160</v>
      </c>
      <c r="D8" s="88">
        <f>D25</f>
        <v>36073.32</v>
      </c>
      <c r="E8" s="282"/>
      <c r="F8" s="39"/>
      <c r="G8" s="39"/>
      <c r="H8" s="39"/>
      <c r="I8" s="39"/>
      <c r="J8" s="39"/>
      <c r="K8" s="39"/>
    </row>
    <row r="9" spans="1:11" ht="18">
      <c r="A9" s="39"/>
      <c r="B9" s="83" t="s">
        <v>150</v>
      </c>
      <c r="C9" s="61" t="s">
        <v>158</v>
      </c>
      <c r="D9" s="88">
        <f>D31</f>
        <v>18694.82</v>
      </c>
      <c r="E9" s="282"/>
      <c r="F9" s="39"/>
      <c r="G9" s="39"/>
      <c r="H9" s="39"/>
      <c r="I9" s="39"/>
      <c r="J9" s="39"/>
      <c r="K9" s="39"/>
    </row>
    <row r="10" spans="1:11" ht="18">
      <c r="A10" s="39"/>
      <c r="B10" s="83" t="s">
        <v>151</v>
      </c>
      <c r="C10" s="61" t="s">
        <v>83</v>
      </c>
      <c r="D10" s="88">
        <f>D40</f>
        <v>3184</v>
      </c>
      <c r="E10" s="282"/>
      <c r="F10" s="39"/>
      <c r="G10" s="39"/>
      <c r="H10" s="39"/>
      <c r="I10" s="39"/>
      <c r="J10" s="39"/>
      <c r="K10" s="39"/>
    </row>
    <row r="11" spans="1:11" ht="18">
      <c r="A11" s="39"/>
      <c r="B11" s="83" t="s">
        <v>152</v>
      </c>
      <c r="C11" s="61" t="s">
        <v>86</v>
      </c>
      <c r="D11" s="88">
        <f>D46</f>
        <v>81693.20571428572</v>
      </c>
      <c r="E11" s="282"/>
      <c r="F11" s="39"/>
      <c r="G11" s="39"/>
      <c r="H11" s="39"/>
      <c r="I11" s="39"/>
      <c r="J11" s="39"/>
      <c r="K11" s="39"/>
    </row>
    <row r="12" spans="1:11" ht="18">
      <c r="A12" s="39"/>
      <c r="B12" s="83" t="s">
        <v>153</v>
      </c>
      <c r="C12" s="61" t="str">
        <f>C54</f>
        <v>Training </v>
      </c>
      <c r="D12" s="88">
        <f>D54</f>
        <v>2200</v>
      </c>
      <c r="E12" s="282"/>
      <c r="F12" s="39"/>
      <c r="G12" s="39"/>
      <c r="H12" s="39"/>
      <c r="I12" s="39"/>
      <c r="J12" s="39"/>
      <c r="K12" s="39"/>
    </row>
    <row r="13" spans="1:11" ht="18">
      <c r="A13" s="39"/>
      <c r="B13" s="83" t="s">
        <v>154</v>
      </c>
      <c r="C13" s="61" t="str">
        <f>C57</f>
        <v>Capital Expenditure</v>
      </c>
      <c r="D13" s="88">
        <f>D57</f>
        <v>5179.82</v>
      </c>
      <c r="E13" s="282"/>
      <c r="F13" s="39"/>
      <c r="G13" s="39"/>
      <c r="H13" s="39"/>
      <c r="I13" s="39"/>
      <c r="J13" s="39"/>
      <c r="K13" s="39"/>
    </row>
    <row r="14" spans="1:11" ht="18">
      <c r="A14" s="39"/>
      <c r="B14" s="83" t="s">
        <v>173</v>
      </c>
      <c r="C14" s="70"/>
      <c r="D14" s="89"/>
      <c r="E14" s="282"/>
      <c r="F14" s="39"/>
      <c r="G14" s="39"/>
      <c r="H14" s="39"/>
      <c r="I14" s="39"/>
      <c r="J14" s="39"/>
      <c r="K14" s="39"/>
    </row>
    <row r="15" spans="1:11" ht="18">
      <c r="A15" s="39"/>
      <c r="B15" s="83" t="s">
        <v>156</v>
      </c>
      <c r="C15" s="70"/>
      <c r="D15" s="89"/>
      <c r="E15" s="282"/>
      <c r="F15" s="39"/>
      <c r="G15" s="39"/>
      <c r="H15" s="39"/>
      <c r="I15" s="39"/>
      <c r="J15" s="39"/>
      <c r="K15" s="39"/>
    </row>
    <row r="16" spans="1:11" ht="18">
      <c r="A16" s="39"/>
      <c r="B16" s="83" t="s">
        <v>157</v>
      </c>
      <c r="C16" s="70"/>
      <c r="D16" s="89"/>
      <c r="E16" s="282"/>
      <c r="F16" s="39"/>
      <c r="G16" s="39"/>
      <c r="H16" s="39"/>
      <c r="I16" s="39"/>
      <c r="J16" s="39"/>
      <c r="K16" s="39"/>
    </row>
    <row r="17" spans="1:11" ht="18">
      <c r="A17" s="39"/>
      <c r="B17" s="83"/>
      <c r="C17" s="61" t="s">
        <v>131</v>
      </c>
      <c r="D17" s="283">
        <f>SUM(D7:D16)</f>
        <v>202289.66571428574</v>
      </c>
      <c r="E17" s="284"/>
      <c r="F17" s="39"/>
      <c r="G17" s="39"/>
      <c r="H17" s="39"/>
      <c r="I17" s="39"/>
      <c r="J17" s="39"/>
      <c r="K17" s="39"/>
    </row>
    <row r="18" spans="1:11" ht="18.75" thickBot="1">
      <c r="A18" s="39"/>
      <c r="B18" s="101"/>
      <c r="C18" s="102" t="s">
        <v>132</v>
      </c>
      <c r="D18" s="104">
        <f>D17/12</f>
        <v>16857.472142857147</v>
      </c>
      <c r="E18" s="284"/>
      <c r="F18" s="39"/>
      <c r="G18" s="39"/>
      <c r="H18" s="39"/>
      <c r="I18" s="39"/>
      <c r="J18" s="39"/>
      <c r="K18" s="39"/>
    </row>
    <row r="19" spans="1:11" ht="18.75" thickBot="1">
      <c r="A19" s="39"/>
      <c r="B19" s="39" t="s">
        <v>55</v>
      </c>
      <c r="C19" s="39"/>
      <c r="D19" s="39" t="s">
        <v>56</v>
      </c>
      <c r="E19" s="39" t="s">
        <v>57</v>
      </c>
      <c r="F19" s="39" t="s">
        <v>58</v>
      </c>
      <c r="G19" s="39" t="s">
        <v>14</v>
      </c>
      <c r="H19" s="39" t="s">
        <v>59</v>
      </c>
      <c r="I19" s="39" t="s">
        <v>57</v>
      </c>
      <c r="J19" s="39" t="s">
        <v>60</v>
      </c>
      <c r="K19" s="39"/>
    </row>
    <row r="20" spans="1:11" ht="18">
      <c r="A20" s="39"/>
      <c r="B20" s="285" t="s">
        <v>148</v>
      </c>
      <c r="C20" s="286" t="s">
        <v>18</v>
      </c>
      <c r="D20" s="287">
        <f>SUM(J20:J24)</f>
        <v>55264.5</v>
      </c>
      <c r="E20" s="288"/>
      <c r="F20" s="289" t="s">
        <v>61</v>
      </c>
      <c r="G20" s="290">
        <v>1</v>
      </c>
      <c r="H20" s="177">
        <f>314.9*25%+314.9</f>
        <v>393.625</v>
      </c>
      <c r="I20" s="193">
        <f>H20*1</f>
        <v>393.625</v>
      </c>
      <c r="J20" s="291">
        <f aca="true" t="shared" si="0" ref="J20:J29">I20*12</f>
        <v>4723.5</v>
      </c>
      <c r="K20" s="39"/>
    </row>
    <row r="21" spans="1:11" ht="18">
      <c r="A21" s="39"/>
      <c r="B21" s="292"/>
      <c r="C21" s="293" t="s">
        <v>62</v>
      </c>
      <c r="D21" s="137"/>
      <c r="E21" s="137"/>
      <c r="F21" s="114" t="s">
        <v>63</v>
      </c>
      <c r="G21" s="165">
        <v>1</v>
      </c>
      <c r="H21" s="294">
        <v>357.14</v>
      </c>
      <c r="I21" s="133">
        <f>1*357.14</f>
        <v>357.14</v>
      </c>
      <c r="J21" s="291">
        <f t="shared" si="0"/>
        <v>4285.68</v>
      </c>
      <c r="K21" s="39"/>
    </row>
    <row r="22" spans="1:11" ht="18">
      <c r="A22" s="39"/>
      <c r="B22" s="295"/>
      <c r="C22" s="296"/>
      <c r="D22" s="143"/>
      <c r="E22" s="143"/>
      <c r="F22" s="142" t="s">
        <v>10</v>
      </c>
      <c r="G22" s="144">
        <v>1</v>
      </c>
      <c r="H22" s="180">
        <f>189.18*25%+189.18</f>
        <v>236.47500000000002</v>
      </c>
      <c r="I22" s="188">
        <f>1*236.48</f>
        <v>236.48</v>
      </c>
      <c r="J22" s="291">
        <f t="shared" si="0"/>
        <v>2837.7599999999998</v>
      </c>
      <c r="K22" s="39"/>
    </row>
    <row r="23" spans="1:11" ht="18">
      <c r="A23" s="39"/>
      <c r="B23" s="295"/>
      <c r="C23" s="296"/>
      <c r="D23" s="143"/>
      <c r="E23" s="143"/>
      <c r="F23" s="142" t="s">
        <v>64</v>
      </c>
      <c r="G23" s="144">
        <v>1</v>
      </c>
      <c r="H23" s="180">
        <f>180.18*25%+180.18</f>
        <v>225.22500000000002</v>
      </c>
      <c r="I23" s="188">
        <f>1*225.23</f>
        <v>225.23</v>
      </c>
      <c r="J23" s="291">
        <f t="shared" si="0"/>
        <v>2702.7599999999998</v>
      </c>
      <c r="K23" s="39"/>
    </row>
    <row r="24" spans="1:11" ht="18.75" thickBot="1">
      <c r="A24" s="39"/>
      <c r="B24" s="297"/>
      <c r="C24" s="298"/>
      <c r="D24" s="150"/>
      <c r="E24" s="150"/>
      <c r="F24" s="149" t="s">
        <v>62</v>
      </c>
      <c r="G24" s="151">
        <v>10</v>
      </c>
      <c r="H24" s="182">
        <v>339.29</v>
      </c>
      <c r="I24" s="153">
        <f>10*339.29</f>
        <v>3392.9</v>
      </c>
      <c r="J24" s="291">
        <f t="shared" si="0"/>
        <v>40714.8</v>
      </c>
      <c r="K24" s="39"/>
    </row>
    <row r="25" spans="1:11" ht="18">
      <c r="A25" s="39"/>
      <c r="B25" s="285" t="s">
        <v>149</v>
      </c>
      <c r="C25" s="286" t="s">
        <v>65</v>
      </c>
      <c r="D25" s="287">
        <f>SUM(J25:J29)</f>
        <v>36073.32</v>
      </c>
      <c r="E25" s="288"/>
      <c r="F25" s="289" t="s">
        <v>61</v>
      </c>
      <c r="G25" s="290">
        <v>1</v>
      </c>
      <c r="H25" s="177">
        <f>171.6*25%+171.6</f>
        <v>214.5</v>
      </c>
      <c r="I25" s="193">
        <f>1*214.5</f>
        <v>214.5</v>
      </c>
      <c r="J25" s="291">
        <f t="shared" si="0"/>
        <v>2574</v>
      </c>
      <c r="K25" s="39"/>
    </row>
    <row r="26" spans="1:11" ht="18">
      <c r="A26" s="39"/>
      <c r="B26" s="292"/>
      <c r="C26" s="293" t="s">
        <v>62</v>
      </c>
      <c r="D26" s="137"/>
      <c r="E26" s="137"/>
      <c r="F26" s="114" t="s">
        <v>63</v>
      </c>
      <c r="G26" s="165">
        <v>1</v>
      </c>
      <c r="H26" s="294">
        <f>163.8*25%+163.8</f>
        <v>204.75</v>
      </c>
      <c r="I26" s="133">
        <f>1*204.75</f>
        <v>204.75</v>
      </c>
      <c r="J26" s="291">
        <f t="shared" si="0"/>
        <v>2457</v>
      </c>
      <c r="K26" s="39"/>
    </row>
    <row r="27" spans="1:11" ht="18">
      <c r="A27" s="39"/>
      <c r="B27" s="292"/>
      <c r="C27" s="293"/>
      <c r="D27" s="137"/>
      <c r="E27" s="137"/>
      <c r="F27" s="114" t="s">
        <v>62</v>
      </c>
      <c r="G27" s="131">
        <v>7</v>
      </c>
      <c r="H27" s="294">
        <f>137.34*25%+137.34</f>
        <v>171.675</v>
      </c>
      <c r="I27" s="133">
        <f>7*171.68</f>
        <v>1201.76</v>
      </c>
      <c r="J27" s="163">
        <f t="shared" si="0"/>
        <v>14421.119999999999</v>
      </c>
      <c r="K27" s="39"/>
    </row>
    <row r="28" spans="1:11" ht="18">
      <c r="A28" s="39"/>
      <c r="B28" s="295"/>
      <c r="C28" s="296"/>
      <c r="D28" s="143"/>
      <c r="E28" s="143"/>
      <c r="F28" s="142" t="s">
        <v>66</v>
      </c>
      <c r="G28" s="144">
        <v>1</v>
      </c>
      <c r="H28" s="187">
        <f>163.08*25%+163.08</f>
        <v>203.85000000000002</v>
      </c>
      <c r="I28" s="188">
        <f>1*203.85</f>
        <v>203.85</v>
      </c>
      <c r="J28" s="291">
        <f t="shared" si="0"/>
        <v>2446.2</v>
      </c>
      <c r="K28" s="39"/>
    </row>
    <row r="29" spans="1:11" ht="18.75" thickBot="1">
      <c r="A29" s="39"/>
      <c r="B29" s="297"/>
      <c r="C29" s="298" t="s">
        <v>67</v>
      </c>
      <c r="D29" s="150"/>
      <c r="E29" s="150"/>
      <c r="F29" s="149" t="s">
        <v>62</v>
      </c>
      <c r="G29" s="151">
        <v>10</v>
      </c>
      <c r="H29" s="233">
        <f>94.5*25%+94.5</f>
        <v>118.125</v>
      </c>
      <c r="I29" s="153">
        <f>SUM(G29*H29)</f>
        <v>1181.25</v>
      </c>
      <c r="J29" s="291">
        <f t="shared" si="0"/>
        <v>14175</v>
      </c>
      <c r="K29" s="39"/>
    </row>
    <row r="30" spans="1:11" ht="18">
      <c r="A30" s="39"/>
      <c r="B30" s="299"/>
      <c r="C30" s="300"/>
      <c r="D30" s="301"/>
      <c r="E30" s="302"/>
      <c r="F30" s="303"/>
      <c r="G30" s="304"/>
      <c r="H30" s="305"/>
      <c r="I30" s="306"/>
      <c r="J30" s="291"/>
      <c r="K30" s="39"/>
    </row>
    <row r="31" spans="1:11" ht="18">
      <c r="A31" s="39"/>
      <c r="B31" s="307" t="s">
        <v>150</v>
      </c>
      <c r="C31" s="308" t="s">
        <v>68</v>
      </c>
      <c r="D31" s="248">
        <f>SUM(J31:J38)</f>
        <v>18694.82</v>
      </c>
      <c r="E31" s="291"/>
      <c r="F31" s="309"/>
      <c r="G31" s="310"/>
      <c r="H31" s="311"/>
      <c r="I31" s="312"/>
      <c r="J31" s="291">
        <f>I31*12</f>
        <v>0</v>
      </c>
      <c r="K31" s="39"/>
    </row>
    <row r="32" spans="1:12" ht="18">
      <c r="A32" s="39"/>
      <c r="B32" s="313"/>
      <c r="C32" s="293"/>
      <c r="D32" s="137"/>
      <c r="E32" s="146" t="s">
        <v>69</v>
      </c>
      <c r="F32" s="314" t="s">
        <v>70</v>
      </c>
      <c r="G32" s="165">
        <v>120</v>
      </c>
      <c r="H32" s="315">
        <v>8.8</v>
      </c>
      <c r="I32" s="316"/>
      <c r="J32" s="291">
        <f aca="true" t="shared" si="1" ref="J32:J37">SUM(G32*H32)</f>
        <v>1056</v>
      </c>
      <c r="K32" s="39"/>
      <c r="L32" s="375"/>
    </row>
    <row r="33" spans="1:12" ht="18">
      <c r="A33" s="39"/>
      <c r="B33" s="313"/>
      <c r="C33" s="293"/>
      <c r="D33" s="137"/>
      <c r="E33" s="146" t="s">
        <v>71</v>
      </c>
      <c r="F33" s="314" t="s">
        <v>72</v>
      </c>
      <c r="G33" s="165">
        <v>298</v>
      </c>
      <c r="H33" s="315">
        <v>0.32</v>
      </c>
      <c r="I33" s="316"/>
      <c r="J33" s="291">
        <f t="shared" si="1"/>
        <v>95.36</v>
      </c>
      <c r="K33" s="39"/>
      <c r="L33" s="375"/>
    </row>
    <row r="34" spans="1:12" ht="18">
      <c r="A34" s="39"/>
      <c r="B34" s="313"/>
      <c r="C34" s="293"/>
      <c r="D34" s="137"/>
      <c r="E34" s="146" t="s">
        <v>73</v>
      </c>
      <c r="F34" s="314" t="s">
        <v>74</v>
      </c>
      <c r="G34" s="165">
        <v>120</v>
      </c>
      <c r="H34" s="315">
        <v>7.75</v>
      </c>
      <c r="I34" s="316"/>
      <c r="J34" s="291">
        <f t="shared" si="1"/>
        <v>930</v>
      </c>
      <c r="K34" s="39"/>
      <c r="L34" s="375"/>
    </row>
    <row r="35" spans="1:12" ht="18">
      <c r="A35" s="39"/>
      <c r="B35" s="313"/>
      <c r="C35" s="293"/>
      <c r="D35" s="137"/>
      <c r="E35" s="134" t="s">
        <v>75</v>
      </c>
      <c r="F35" s="314" t="s">
        <v>76</v>
      </c>
      <c r="G35" s="131">
        <v>500</v>
      </c>
      <c r="H35" s="315">
        <v>28.7</v>
      </c>
      <c r="I35" s="316"/>
      <c r="J35" s="291">
        <f t="shared" si="1"/>
        <v>14350</v>
      </c>
      <c r="K35" s="39"/>
      <c r="L35" s="375"/>
    </row>
    <row r="36" spans="1:11" ht="18">
      <c r="A36" s="39"/>
      <c r="B36" s="313"/>
      <c r="C36" s="293"/>
      <c r="D36" s="137"/>
      <c r="E36" s="146" t="s">
        <v>77</v>
      </c>
      <c r="F36" s="314" t="s">
        <v>78</v>
      </c>
      <c r="G36" s="165">
        <v>298</v>
      </c>
      <c r="H36" s="315">
        <v>5.04</v>
      </c>
      <c r="I36" s="316"/>
      <c r="J36" s="291">
        <f t="shared" si="1"/>
        <v>1501.92</v>
      </c>
      <c r="K36" s="39"/>
    </row>
    <row r="37" spans="1:11" ht="18">
      <c r="A37" s="39"/>
      <c r="B37" s="313"/>
      <c r="C37" s="293"/>
      <c r="D37" s="137"/>
      <c r="E37" s="146" t="s">
        <v>79</v>
      </c>
      <c r="F37" s="314" t="s">
        <v>80</v>
      </c>
      <c r="G37" s="165">
        <v>298</v>
      </c>
      <c r="H37" s="315">
        <v>1.23</v>
      </c>
      <c r="I37" s="316"/>
      <c r="J37" s="291">
        <f t="shared" si="1"/>
        <v>366.54</v>
      </c>
      <c r="K37" s="39"/>
    </row>
    <row r="38" spans="1:11" ht="18.75" thickBot="1">
      <c r="A38" s="39"/>
      <c r="B38" s="317"/>
      <c r="C38" s="298"/>
      <c r="D38" s="150"/>
      <c r="E38" s="154" t="s">
        <v>81</v>
      </c>
      <c r="F38" s="318" t="s">
        <v>82</v>
      </c>
      <c r="G38" s="151"/>
      <c r="H38" s="319">
        <v>395</v>
      </c>
      <c r="I38" s="320"/>
      <c r="J38" s="291">
        <f>H38*1</f>
        <v>395</v>
      </c>
      <c r="K38" s="39"/>
    </row>
    <row r="39" spans="1:11" ht="18">
      <c r="A39" s="39"/>
      <c r="B39" s="321"/>
      <c r="C39" s="300"/>
      <c r="D39" s="301"/>
      <c r="E39" s="301"/>
      <c r="F39" s="322"/>
      <c r="G39" s="323"/>
      <c r="H39" s="324"/>
      <c r="I39" s="325"/>
      <c r="J39" s="291">
        <f>I39*12</f>
        <v>0</v>
      </c>
      <c r="K39" s="39"/>
    </row>
    <row r="40" spans="1:11" ht="18">
      <c r="A40" s="39"/>
      <c r="B40" s="313" t="s">
        <v>151</v>
      </c>
      <c r="C40" s="296" t="s">
        <v>83</v>
      </c>
      <c r="D40" s="236">
        <f>SUM(J39:J44)</f>
        <v>3184</v>
      </c>
      <c r="E40" s="143" t="s">
        <v>69</v>
      </c>
      <c r="F40" s="326" t="s">
        <v>84</v>
      </c>
      <c r="G40" s="323">
        <v>50</v>
      </c>
      <c r="H40" s="324">
        <v>7.2</v>
      </c>
      <c r="I40" s="325">
        <v>360</v>
      </c>
      <c r="J40" s="291">
        <f>I40*4</f>
        <v>1440</v>
      </c>
      <c r="K40" s="39"/>
    </row>
    <row r="41" spans="1:11" ht="18">
      <c r="A41" s="39"/>
      <c r="B41" s="313"/>
      <c r="C41" s="296"/>
      <c r="D41" s="143"/>
      <c r="E41" s="143" t="s">
        <v>71</v>
      </c>
      <c r="F41" s="326" t="s">
        <v>85</v>
      </c>
      <c r="G41" s="323">
        <v>30</v>
      </c>
      <c r="H41" s="324">
        <v>3.5</v>
      </c>
      <c r="I41" s="325">
        <v>105</v>
      </c>
      <c r="J41" s="291">
        <f>I41*4</f>
        <v>420</v>
      </c>
      <c r="K41" s="39"/>
    </row>
    <row r="42" spans="1:11" ht="18">
      <c r="A42" s="39"/>
      <c r="B42" s="313"/>
      <c r="C42" s="296"/>
      <c r="D42" s="143"/>
      <c r="E42" s="143" t="s">
        <v>73</v>
      </c>
      <c r="F42" s="326" t="s">
        <v>30</v>
      </c>
      <c r="G42" s="323">
        <v>50</v>
      </c>
      <c r="H42" s="324">
        <v>3.5</v>
      </c>
      <c r="I42" s="325">
        <v>175</v>
      </c>
      <c r="J42" s="291">
        <f>I42*4</f>
        <v>700</v>
      </c>
      <c r="K42" s="39"/>
    </row>
    <row r="43" spans="1:11" ht="18">
      <c r="A43" s="39"/>
      <c r="B43" s="313"/>
      <c r="C43" s="296"/>
      <c r="D43" s="143"/>
      <c r="E43" s="143" t="s">
        <v>75</v>
      </c>
      <c r="F43" s="326" t="s">
        <v>28</v>
      </c>
      <c r="G43" s="323">
        <v>20</v>
      </c>
      <c r="H43" s="324">
        <v>3.5</v>
      </c>
      <c r="I43" s="325">
        <v>70</v>
      </c>
      <c r="J43" s="291">
        <f>I43*4</f>
        <v>280</v>
      </c>
      <c r="K43" s="39"/>
    </row>
    <row r="44" spans="1:11" ht="18.75" thickBot="1">
      <c r="A44" s="39"/>
      <c r="B44" s="317"/>
      <c r="C44" s="298"/>
      <c r="D44" s="150"/>
      <c r="E44" s="150" t="s">
        <v>77</v>
      </c>
      <c r="F44" s="327" t="s">
        <v>29</v>
      </c>
      <c r="G44" s="323">
        <v>20</v>
      </c>
      <c r="H44" s="324">
        <v>4.3</v>
      </c>
      <c r="I44" s="325">
        <v>86</v>
      </c>
      <c r="J44" s="291">
        <f>I44*4</f>
        <v>344</v>
      </c>
      <c r="K44" s="39"/>
    </row>
    <row r="45" spans="1:11" ht="18">
      <c r="A45" s="39"/>
      <c r="B45" s="321"/>
      <c r="C45" s="300"/>
      <c r="D45" s="301"/>
      <c r="E45" s="301"/>
      <c r="F45" s="322"/>
      <c r="G45" s="323"/>
      <c r="H45" s="324"/>
      <c r="I45" s="325"/>
      <c r="J45" s="189"/>
      <c r="K45" s="39"/>
    </row>
    <row r="46" spans="1:11" ht="18">
      <c r="A46" s="39"/>
      <c r="B46" s="313" t="s">
        <v>152</v>
      </c>
      <c r="C46" s="296" t="s">
        <v>86</v>
      </c>
      <c r="D46" s="236">
        <f>SUM(J47:J52)</f>
        <v>81693.20571428572</v>
      </c>
      <c r="E46" s="143"/>
      <c r="F46" s="328" t="s">
        <v>230</v>
      </c>
      <c r="G46" s="329">
        <f>SUM(G47:G51)</f>
        <v>104</v>
      </c>
      <c r="H46" s="324"/>
      <c r="I46" s="325"/>
      <c r="J46" s="189"/>
      <c r="K46" s="39"/>
    </row>
    <row r="47" spans="1:11" ht="18">
      <c r="A47" s="39"/>
      <c r="B47" s="313"/>
      <c r="C47" s="296" t="s">
        <v>232</v>
      </c>
      <c r="D47" s="143"/>
      <c r="E47" s="143"/>
      <c r="F47" s="326" t="s">
        <v>226</v>
      </c>
      <c r="G47" s="323">
        <v>3</v>
      </c>
      <c r="H47" s="330">
        <f>156292/140*2</f>
        <v>2232.7428571428572</v>
      </c>
      <c r="I47" s="325"/>
      <c r="J47" s="189">
        <f aca="true" t="shared" si="2" ref="J47:J52">G47*H47</f>
        <v>6698.228571428572</v>
      </c>
      <c r="K47" s="39"/>
    </row>
    <row r="48" spans="1:11" ht="18">
      <c r="A48" s="39"/>
      <c r="B48" s="313"/>
      <c r="C48" s="296" t="s">
        <v>234</v>
      </c>
      <c r="D48" s="143"/>
      <c r="E48" s="143"/>
      <c r="F48" s="326" t="s">
        <v>229</v>
      </c>
      <c r="G48" s="323">
        <f>17+9+19+2+5</f>
        <v>52</v>
      </c>
      <c r="H48" s="330">
        <f>35000*3/140</f>
        <v>750</v>
      </c>
      <c r="I48" s="325"/>
      <c r="J48" s="189">
        <f t="shared" si="2"/>
        <v>39000</v>
      </c>
      <c r="K48" s="39"/>
    </row>
    <row r="49" spans="1:11" ht="18">
      <c r="A49" s="39"/>
      <c r="B49" s="313"/>
      <c r="C49" s="296" t="s">
        <v>233</v>
      </c>
      <c r="D49" s="143"/>
      <c r="E49" s="143"/>
      <c r="F49" s="326" t="s">
        <v>87</v>
      </c>
      <c r="G49" s="323">
        <v>2</v>
      </c>
      <c r="H49" s="324">
        <f>24648.4/140</f>
        <v>176.06</v>
      </c>
      <c r="I49" s="325"/>
      <c r="J49" s="189">
        <f t="shared" si="2"/>
        <v>352.12</v>
      </c>
      <c r="K49" s="39"/>
    </row>
    <row r="50" spans="1:11" ht="18">
      <c r="A50" s="39"/>
      <c r="B50" s="313"/>
      <c r="C50" s="296"/>
      <c r="D50" s="143"/>
      <c r="E50" s="143"/>
      <c r="F50" s="326" t="s">
        <v>227</v>
      </c>
      <c r="G50" s="323">
        <v>2</v>
      </c>
      <c r="H50" s="330">
        <f>85000/140</f>
        <v>607.1428571428571</v>
      </c>
      <c r="I50" s="325"/>
      <c r="J50" s="189">
        <f t="shared" si="2"/>
        <v>1214.2857142857142</v>
      </c>
      <c r="K50" s="39"/>
    </row>
    <row r="51" spans="1:11" ht="18.75" thickBot="1">
      <c r="A51" s="39"/>
      <c r="B51" s="317"/>
      <c r="C51" s="202"/>
      <c r="D51" s="137"/>
      <c r="E51" s="137"/>
      <c r="F51" s="331" t="s">
        <v>228</v>
      </c>
      <c r="G51" s="323">
        <v>45</v>
      </c>
      <c r="H51" s="330">
        <f>H48</f>
        <v>750</v>
      </c>
      <c r="I51" s="325"/>
      <c r="J51" s="189">
        <f t="shared" si="2"/>
        <v>33750</v>
      </c>
      <c r="K51" s="39"/>
    </row>
    <row r="52" spans="1:11" ht="18.75" thickBot="1">
      <c r="A52" s="39"/>
      <c r="B52" s="313"/>
      <c r="C52" s="303"/>
      <c r="D52" s="245"/>
      <c r="E52" s="245"/>
      <c r="F52" s="326" t="s">
        <v>231</v>
      </c>
      <c r="G52" s="332">
        <v>1</v>
      </c>
      <c r="H52" s="333">
        <f>47500/140*2</f>
        <v>678.5714285714286</v>
      </c>
      <c r="I52" s="334"/>
      <c r="J52" s="335">
        <f t="shared" si="2"/>
        <v>678.5714285714286</v>
      </c>
      <c r="K52" s="39"/>
    </row>
    <row r="53" spans="1:11" ht="18">
      <c r="A53" s="39"/>
      <c r="B53" s="321"/>
      <c r="C53" s="300"/>
      <c r="D53" s="301"/>
      <c r="E53" s="301"/>
      <c r="F53" s="322"/>
      <c r="G53" s="336"/>
      <c r="H53" s="337"/>
      <c r="I53" s="338"/>
      <c r="J53" s="302"/>
      <c r="K53" s="39"/>
    </row>
    <row r="54" spans="1:11" ht="18">
      <c r="A54" s="39"/>
      <c r="B54" s="313" t="s">
        <v>153</v>
      </c>
      <c r="C54" s="296" t="s">
        <v>88</v>
      </c>
      <c r="D54" s="236">
        <f>SUM(J53:J55)</f>
        <v>2200</v>
      </c>
      <c r="E54" s="143"/>
      <c r="F54" s="326" t="s">
        <v>89</v>
      </c>
      <c r="G54" s="339"/>
      <c r="H54" s="324"/>
      <c r="I54" s="325"/>
      <c r="J54" s="189">
        <v>2200</v>
      </c>
      <c r="K54" s="39"/>
    </row>
    <row r="55" spans="1:11" ht="18.75" thickBot="1">
      <c r="A55" s="39"/>
      <c r="B55" s="313"/>
      <c r="C55" s="296"/>
      <c r="D55" s="143"/>
      <c r="E55" s="143"/>
      <c r="F55" s="326"/>
      <c r="G55" s="340"/>
      <c r="H55" s="319"/>
      <c r="I55" s="320"/>
      <c r="J55" s="154"/>
      <c r="K55" s="39"/>
    </row>
    <row r="56" spans="1:11" ht="18">
      <c r="A56" s="39"/>
      <c r="B56" s="321"/>
      <c r="C56" s="300"/>
      <c r="D56" s="301"/>
      <c r="E56" s="301"/>
      <c r="F56" s="341"/>
      <c r="G56" s="336"/>
      <c r="H56" s="342"/>
      <c r="I56" s="338"/>
      <c r="J56" s="302"/>
      <c r="K56" s="39"/>
    </row>
    <row r="57" spans="1:12" ht="18">
      <c r="A57" s="39"/>
      <c r="B57" s="313" t="s">
        <v>154</v>
      </c>
      <c r="C57" s="296" t="s">
        <v>51</v>
      </c>
      <c r="D57" s="236">
        <f>SUM(J57:J59)</f>
        <v>5179.82</v>
      </c>
      <c r="E57" s="143"/>
      <c r="F57" s="343" t="s">
        <v>90</v>
      </c>
      <c r="G57" s="339">
        <v>2</v>
      </c>
      <c r="H57" s="344">
        <v>1438.84</v>
      </c>
      <c r="I57" s="325"/>
      <c r="J57" s="189">
        <f>G57*H57</f>
        <v>2877.68</v>
      </c>
      <c r="K57" s="39"/>
      <c r="L57" s="375"/>
    </row>
    <row r="58" spans="1:12" ht="18">
      <c r="A58" s="39"/>
      <c r="B58" s="313"/>
      <c r="C58" s="296"/>
      <c r="D58" s="143"/>
      <c r="E58" s="143"/>
      <c r="F58" s="343" t="s">
        <v>91</v>
      </c>
      <c r="G58" s="339">
        <v>2</v>
      </c>
      <c r="H58" s="345">
        <v>431.65</v>
      </c>
      <c r="I58" s="325"/>
      <c r="J58" s="189">
        <f>G58*H58</f>
        <v>863.3</v>
      </c>
      <c r="K58" s="39"/>
      <c r="L58" s="375"/>
    </row>
    <row r="59" spans="1:12" ht="18">
      <c r="A59" s="39"/>
      <c r="B59" s="313"/>
      <c r="C59" s="296"/>
      <c r="D59" s="143"/>
      <c r="E59" s="143"/>
      <c r="F59" s="343" t="s">
        <v>92</v>
      </c>
      <c r="G59" s="339">
        <v>1</v>
      </c>
      <c r="H59" s="345">
        <v>1438.84</v>
      </c>
      <c r="I59" s="325"/>
      <c r="J59" s="189">
        <f>G59*H59</f>
        <v>1438.84</v>
      </c>
      <c r="K59" s="39"/>
      <c r="L59" s="375"/>
    </row>
    <row r="60" spans="1:12" ht="18.75" thickBot="1">
      <c r="A60" s="39"/>
      <c r="B60" s="317"/>
      <c r="C60" s="298"/>
      <c r="D60" s="150"/>
      <c r="E60" s="150"/>
      <c r="F60" s="346"/>
      <c r="G60" s="340"/>
      <c r="H60" s="347"/>
      <c r="I60" s="320"/>
      <c r="J60" s="154"/>
      <c r="K60" s="39"/>
      <c r="L60" s="375"/>
    </row>
    <row r="61" spans="1:12" ht="18">
      <c r="A61" s="39"/>
      <c r="B61" s="313" t="s">
        <v>161</v>
      </c>
      <c r="C61" s="303"/>
      <c r="D61" s="236">
        <f>SUM(D20:D60)</f>
        <v>202289.66571428574</v>
      </c>
      <c r="E61" s="245"/>
      <c r="F61" s="185"/>
      <c r="G61" s="304"/>
      <c r="H61" s="348"/>
      <c r="I61" s="334"/>
      <c r="J61" s="350">
        <f>SUM(J20:J60)</f>
        <v>202289.66571428566</v>
      </c>
      <c r="K61" s="39"/>
      <c r="L61" s="375"/>
    </row>
    <row r="62" spans="1:11" ht="18">
      <c r="A62" s="39"/>
      <c r="B62" s="313"/>
      <c r="C62" s="296"/>
      <c r="D62" s="143"/>
      <c r="E62" s="143"/>
      <c r="F62" s="185"/>
      <c r="G62" s="144"/>
      <c r="H62" s="324"/>
      <c r="I62" s="325"/>
      <c r="J62" s="349"/>
      <c r="K62" s="39"/>
    </row>
  </sheetData>
  <sheetProtection/>
  <printOptions/>
  <pageMargins left="0.75" right="0.75" top="1" bottom="1" header="0.5" footer="0.5"/>
  <pageSetup horizontalDpi="600" verticalDpi="600" orientation="landscape" paperSize="9" scale="38" r:id="rId1"/>
  <colBreaks count="1" manualBreakCount="1">
    <brk id="11" max="6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zoomScalePageLayoutView="0" workbookViewId="0" topLeftCell="A13">
      <selection activeCell="E12" sqref="E12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2.8515625" style="0" customWidth="1"/>
    <col min="4" max="4" width="12.7109375" style="0" bestFit="1" customWidth="1"/>
    <col min="5" max="5" width="8.140625" style="0" bestFit="1" customWidth="1"/>
    <col min="6" max="6" width="35.8515625" style="0" customWidth="1"/>
    <col min="7" max="7" width="8.00390625" style="0" customWidth="1"/>
    <col min="8" max="8" width="16.421875" style="0" customWidth="1"/>
    <col min="9" max="9" width="12.7109375" style="0" customWidth="1"/>
    <col min="10" max="10" width="17.7109375" style="0" customWidth="1"/>
  </cols>
  <sheetData>
    <row r="1" spans="1:10" ht="18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8.75">
      <c r="A2" s="351">
        <v>2009</v>
      </c>
      <c r="B2" s="352" t="s">
        <v>162</v>
      </c>
      <c r="C2" s="353"/>
      <c r="D2" s="39"/>
      <c r="E2" s="39"/>
      <c r="F2" s="39"/>
      <c r="G2" s="39"/>
      <c r="H2" s="39"/>
      <c r="I2" s="39"/>
      <c r="J2" s="39"/>
    </row>
    <row r="3" spans="1:10" ht="18">
      <c r="A3" s="343"/>
      <c r="B3" s="61"/>
      <c r="C3" s="314"/>
      <c r="D3" s="39"/>
      <c r="E3" s="39"/>
      <c r="F3" s="39"/>
      <c r="G3" s="39"/>
      <c r="H3" s="39"/>
      <c r="I3" s="39"/>
      <c r="J3" s="39"/>
    </row>
    <row r="4" spans="1:10" ht="18">
      <c r="A4" s="354" t="s">
        <v>144</v>
      </c>
      <c r="B4" s="355" t="s">
        <v>133</v>
      </c>
      <c r="C4" s="356" t="s">
        <v>127</v>
      </c>
      <c r="D4" s="39"/>
      <c r="E4" s="39"/>
      <c r="F4" s="39"/>
      <c r="G4" s="39"/>
      <c r="H4" s="39"/>
      <c r="I4" s="39"/>
      <c r="J4" s="39"/>
    </row>
    <row r="5" spans="1:10" ht="18">
      <c r="A5" s="357" t="s">
        <v>163</v>
      </c>
      <c r="B5" s="61" t="str">
        <f>C22</f>
        <v>Administration</v>
      </c>
      <c r="C5" s="358">
        <f>D22</f>
        <v>65567.48857142856</v>
      </c>
      <c r="D5" s="39"/>
      <c r="E5" s="39"/>
      <c r="F5" s="39"/>
      <c r="G5" s="39"/>
      <c r="H5" s="39"/>
      <c r="I5" s="39"/>
      <c r="J5" s="39"/>
    </row>
    <row r="6" spans="1:10" ht="18">
      <c r="A6" s="357" t="s">
        <v>164</v>
      </c>
      <c r="B6" s="61" t="str">
        <f>C36</f>
        <v>Capital Expenditure</v>
      </c>
      <c r="C6" s="358">
        <f>D36</f>
        <v>24215.72</v>
      </c>
      <c r="D6" s="39"/>
      <c r="E6" s="39"/>
      <c r="F6" s="39"/>
      <c r="G6" s="39"/>
      <c r="H6" s="39"/>
      <c r="I6" s="39"/>
      <c r="J6" s="39"/>
    </row>
    <row r="7" spans="1:10" ht="18">
      <c r="A7" s="357" t="s">
        <v>166</v>
      </c>
      <c r="B7" s="61"/>
      <c r="C7" s="358">
        <f>C26</f>
        <v>0</v>
      </c>
      <c r="D7" s="39"/>
      <c r="E7" s="39"/>
      <c r="F7" s="39"/>
      <c r="G7" s="39"/>
      <c r="H7" s="39"/>
      <c r="I7" s="39"/>
      <c r="J7" s="39"/>
    </row>
    <row r="8" spans="1:10" ht="18">
      <c r="A8" s="357" t="s">
        <v>167</v>
      </c>
      <c r="B8" s="61"/>
      <c r="C8" s="358">
        <f>C35</f>
        <v>0</v>
      </c>
      <c r="D8" s="39"/>
      <c r="E8" s="39"/>
      <c r="F8" s="39"/>
      <c r="G8" s="39"/>
      <c r="H8" s="39"/>
      <c r="I8" s="39"/>
      <c r="J8" s="39"/>
    </row>
    <row r="9" spans="1:10" ht="18">
      <c r="A9" s="357" t="s">
        <v>168</v>
      </c>
      <c r="B9" s="61"/>
      <c r="C9" s="358">
        <f>C41</f>
        <v>0</v>
      </c>
      <c r="D9" s="39"/>
      <c r="E9" s="39"/>
      <c r="F9" s="39"/>
      <c r="G9" s="39"/>
      <c r="H9" s="39"/>
      <c r="I9" s="39"/>
      <c r="J9" s="39"/>
    </row>
    <row r="10" spans="1:10" ht="18">
      <c r="A10" s="357" t="s">
        <v>169</v>
      </c>
      <c r="B10" s="61"/>
      <c r="C10" s="358">
        <v>0</v>
      </c>
      <c r="D10" s="39"/>
      <c r="E10" s="39"/>
      <c r="F10" s="39"/>
      <c r="G10" s="39"/>
      <c r="H10" s="39"/>
      <c r="I10" s="39"/>
      <c r="J10" s="39"/>
    </row>
    <row r="11" spans="1:10" ht="18">
      <c r="A11" s="357" t="s">
        <v>170</v>
      </c>
      <c r="B11" s="61"/>
      <c r="C11" s="358">
        <f>C44</f>
        <v>0</v>
      </c>
      <c r="D11" s="39"/>
      <c r="E11" s="39"/>
      <c r="F11" s="39"/>
      <c r="G11" s="39"/>
      <c r="H11" s="39"/>
      <c r="I11" s="39"/>
      <c r="J11" s="39"/>
    </row>
    <row r="12" spans="1:10" ht="18">
      <c r="A12" s="357" t="s">
        <v>175</v>
      </c>
      <c r="B12" s="70"/>
      <c r="C12" s="358"/>
      <c r="D12" s="39"/>
      <c r="E12" s="39"/>
      <c r="F12" s="39"/>
      <c r="G12" s="39"/>
      <c r="H12" s="39"/>
      <c r="I12" s="39"/>
      <c r="J12" s="39"/>
    </row>
    <row r="13" spans="1:10" ht="18">
      <c r="A13" s="357" t="s">
        <v>176</v>
      </c>
      <c r="B13" s="70"/>
      <c r="C13" s="358"/>
      <c r="D13" s="39"/>
      <c r="E13" s="39"/>
      <c r="F13" s="39"/>
      <c r="G13" s="39"/>
      <c r="H13" s="39"/>
      <c r="I13" s="39"/>
      <c r="J13" s="39"/>
    </row>
    <row r="14" spans="1:10" ht="18">
      <c r="A14" s="359" t="s">
        <v>177</v>
      </c>
      <c r="B14" s="360"/>
      <c r="C14" s="361"/>
      <c r="D14" s="39"/>
      <c r="E14" s="39"/>
      <c r="F14" s="39"/>
      <c r="G14" s="39"/>
      <c r="H14" s="39"/>
      <c r="I14" s="39"/>
      <c r="J14" s="39"/>
    </row>
    <row r="15" spans="1:10" ht="18">
      <c r="A15" s="357"/>
      <c r="B15" s="61" t="s">
        <v>131</v>
      </c>
      <c r="C15" s="362">
        <f>SUM(C5:C14)</f>
        <v>89783.20857142856</v>
      </c>
      <c r="D15" s="39"/>
      <c r="E15" s="39"/>
      <c r="F15" s="39"/>
      <c r="G15" s="39"/>
      <c r="H15" s="39"/>
      <c r="I15" s="39"/>
      <c r="J15" s="39"/>
    </row>
    <row r="16" spans="1:10" ht="18">
      <c r="A16" s="359"/>
      <c r="B16" s="363" t="s">
        <v>132</v>
      </c>
      <c r="C16" s="364">
        <f>C15/12</f>
        <v>7481.934047619047</v>
      </c>
      <c r="D16" s="39"/>
      <c r="E16" s="39"/>
      <c r="F16" s="39"/>
      <c r="G16" s="39"/>
      <c r="H16" s="39"/>
      <c r="I16" s="39"/>
      <c r="J16" s="39"/>
    </row>
    <row r="17" spans="1:10" ht="18.75">
      <c r="A17" s="39"/>
      <c r="B17" s="365" t="s">
        <v>93</v>
      </c>
      <c r="C17" s="365"/>
      <c r="D17" s="365"/>
      <c r="E17" s="365"/>
      <c r="F17" s="39"/>
      <c r="G17" s="39"/>
      <c r="H17" s="39"/>
      <c r="I17" s="39"/>
      <c r="J17" s="39"/>
    </row>
    <row r="18" spans="1:10" ht="18.75">
      <c r="A18" s="39"/>
      <c r="B18" s="365" t="s">
        <v>256</v>
      </c>
      <c r="C18" s="365"/>
      <c r="D18" s="365"/>
      <c r="E18" s="365"/>
      <c r="F18" s="39"/>
      <c r="G18" s="39"/>
      <c r="H18" s="39"/>
      <c r="I18" s="39"/>
      <c r="J18" s="39"/>
    </row>
    <row r="19" spans="1:10" ht="18.75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8">
      <c r="A20" s="39"/>
      <c r="B20" s="114"/>
      <c r="C20" s="114"/>
      <c r="D20" s="114" t="s">
        <v>2</v>
      </c>
      <c r="E20" s="114"/>
      <c r="F20" s="114"/>
      <c r="G20" s="114"/>
      <c r="H20" s="115" t="s">
        <v>15</v>
      </c>
      <c r="I20" s="116" t="s">
        <v>6</v>
      </c>
      <c r="J20" s="117" t="s">
        <v>8</v>
      </c>
    </row>
    <row r="21" spans="1:10" ht="18">
      <c r="A21" s="39"/>
      <c r="B21" s="114" t="s">
        <v>3</v>
      </c>
      <c r="C21" s="120"/>
      <c r="D21" s="120" t="s">
        <v>0</v>
      </c>
      <c r="E21" s="120" t="s">
        <v>1</v>
      </c>
      <c r="F21" s="121" t="s">
        <v>5</v>
      </c>
      <c r="G21" s="121" t="s">
        <v>14</v>
      </c>
      <c r="H21" s="122" t="s">
        <v>16</v>
      </c>
      <c r="I21" s="123" t="s">
        <v>7</v>
      </c>
      <c r="J21" s="124" t="s">
        <v>7</v>
      </c>
    </row>
    <row r="22" spans="1:10" ht="18">
      <c r="A22" s="39"/>
      <c r="B22" s="136" t="s">
        <v>163</v>
      </c>
      <c r="C22" s="114" t="s">
        <v>94</v>
      </c>
      <c r="D22" s="226">
        <f>SUM(J22:J34)</f>
        <v>65567.48857142856</v>
      </c>
      <c r="E22" s="137"/>
      <c r="F22" s="137" t="s">
        <v>95</v>
      </c>
      <c r="G22" s="165">
        <v>1</v>
      </c>
      <c r="H22" s="186">
        <v>214.29</v>
      </c>
      <c r="I22" s="133">
        <f>G22*H22</f>
        <v>214.29</v>
      </c>
      <c r="J22" s="366">
        <f>SUM(H22*12)</f>
        <v>2571.48</v>
      </c>
    </row>
    <row r="23" spans="1:10" ht="18">
      <c r="A23" s="39"/>
      <c r="B23" s="136"/>
      <c r="C23" s="114"/>
      <c r="D23" s="137"/>
      <c r="E23" s="137"/>
      <c r="F23" s="137" t="s">
        <v>96</v>
      </c>
      <c r="G23" s="165">
        <v>50</v>
      </c>
      <c r="H23" s="186">
        <v>37.8</v>
      </c>
      <c r="I23" s="133">
        <f>G23*H23</f>
        <v>1889.9999999999998</v>
      </c>
      <c r="J23" s="366">
        <f>SUM(I23*12)</f>
        <v>22679.999999999996</v>
      </c>
    </row>
    <row r="24" spans="1:10" ht="18">
      <c r="A24" s="39"/>
      <c r="B24" s="136"/>
      <c r="C24" s="114"/>
      <c r="D24" s="137"/>
      <c r="E24" s="137"/>
      <c r="F24" s="137" t="s">
        <v>97</v>
      </c>
      <c r="G24" s="165">
        <v>144</v>
      </c>
      <c r="H24" s="186">
        <v>4.42</v>
      </c>
      <c r="I24" s="133"/>
      <c r="J24" s="366">
        <f>SUM(G24*H24)</f>
        <v>636.48</v>
      </c>
    </row>
    <row r="25" spans="1:10" ht="18">
      <c r="A25" s="39"/>
      <c r="B25" s="136"/>
      <c r="C25" s="114"/>
      <c r="D25" s="137"/>
      <c r="E25" s="137"/>
      <c r="F25" s="137" t="s">
        <v>98</v>
      </c>
      <c r="G25" s="165">
        <v>500</v>
      </c>
      <c r="H25" s="186">
        <v>1.43</v>
      </c>
      <c r="I25" s="133">
        <f>G25*H25</f>
        <v>715</v>
      </c>
      <c r="J25" s="366">
        <f>SUM(I25*12)</f>
        <v>8580</v>
      </c>
    </row>
    <row r="26" spans="1:10" ht="18">
      <c r="A26" s="39"/>
      <c r="B26" s="136"/>
      <c r="C26" s="114"/>
      <c r="D26" s="137"/>
      <c r="E26" s="137"/>
      <c r="F26" s="137" t="s">
        <v>99</v>
      </c>
      <c r="G26" s="165">
        <v>100</v>
      </c>
      <c r="H26" s="186">
        <v>16.45</v>
      </c>
      <c r="I26" s="133"/>
      <c r="J26" s="366">
        <f>SUM(G26*H26)</f>
        <v>1645</v>
      </c>
    </row>
    <row r="27" spans="1:10" ht="18">
      <c r="A27" s="39"/>
      <c r="B27" s="136"/>
      <c r="C27" s="114"/>
      <c r="D27" s="137"/>
      <c r="E27" s="137"/>
      <c r="F27" s="143" t="s">
        <v>100</v>
      </c>
      <c r="G27" s="144">
        <v>20</v>
      </c>
      <c r="H27" s="187">
        <v>36</v>
      </c>
      <c r="I27" s="133"/>
      <c r="J27" s="366">
        <f>SUM(G27*H27)</f>
        <v>720</v>
      </c>
    </row>
    <row r="28" spans="1:10" ht="18">
      <c r="A28" s="39"/>
      <c r="B28" s="136"/>
      <c r="C28" s="114"/>
      <c r="D28" s="137"/>
      <c r="E28" s="137"/>
      <c r="F28" s="143" t="s">
        <v>101</v>
      </c>
      <c r="G28" s="144">
        <v>30</v>
      </c>
      <c r="H28" s="187">
        <v>28.77</v>
      </c>
      <c r="I28" s="133"/>
      <c r="J28" s="366">
        <f>SUM(G28*H28)</f>
        <v>863.1</v>
      </c>
    </row>
    <row r="29" spans="1:10" ht="18">
      <c r="A29" s="39"/>
      <c r="B29" s="136"/>
      <c r="C29" s="114"/>
      <c r="D29" s="137"/>
      <c r="E29" s="137"/>
      <c r="F29" s="143" t="s">
        <v>102</v>
      </c>
      <c r="G29" s="144">
        <v>200</v>
      </c>
      <c r="H29" s="187">
        <v>1.5</v>
      </c>
      <c r="I29" s="133"/>
      <c r="J29" s="366">
        <f>SUM(G29*H29)</f>
        <v>300</v>
      </c>
    </row>
    <row r="30" spans="1:10" ht="18">
      <c r="A30" s="39"/>
      <c r="B30" s="136"/>
      <c r="C30" s="114"/>
      <c r="D30" s="137"/>
      <c r="E30" s="137"/>
      <c r="F30" s="143"/>
      <c r="G30" s="144"/>
      <c r="H30" s="187"/>
      <c r="I30" s="133"/>
      <c r="J30" s="366"/>
    </row>
    <row r="31" spans="1:10" ht="18">
      <c r="A31" s="39"/>
      <c r="B31" s="136"/>
      <c r="C31" s="114"/>
      <c r="D31" s="137"/>
      <c r="E31" s="137"/>
      <c r="F31" s="143" t="s">
        <v>103</v>
      </c>
      <c r="G31" s="144">
        <v>2000</v>
      </c>
      <c r="H31" s="187">
        <v>0.5</v>
      </c>
      <c r="I31" s="133"/>
      <c r="J31" s="366">
        <f>SUM(G31*H31)</f>
        <v>1000</v>
      </c>
    </row>
    <row r="32" spans="1:10" ht="18">
      <c r="A32" s="39"/>
      <c r="B32" s="141"/>
      <c r="C32" s="142"/>
      <c r="D32" s="143"/>
      <c r="E32" s="143"/>
      <c r="F32" s="143" t="s">
        <v>278</v>
      </c>
      <c r="G32" s="144">
        <v>200</v>
      </c>
      <c r="H32" s="367">
        <f>10100/140</f>
        <v>72.14285714285714</v>
      </c>
      <c r="I32" s="133"/>
      <c r="J32" s="366">
        <f>G32*H32</f>
        <v>14428.571428571428</v>
      </c>
    </row>
    <row r="33" spans="1:10" ht="18">
      <c r="A33" s="39"/>
      <c r="B33" s="141"/>
      <c r="C33" s="142"/>
      <c r="D33" s="143"/>
      <c r="E33" s="143"/>
      <c r="F33" s="143" t="s">
        <v>279</v>
      </c>
      <c r="G33" s="144">
        <v>200</v>
      </c>
      <c r="H33" s="367">
        <f>8500/140</f>
        <v>60.714285714285715</v>
      </c>
      <c r="I33" s="133"/>
      <c r="J33" s="366">
        <f>G33*H33</f>
        <v>12142.857142857143</v>
      </c>
    </row>
    <row r="34" spans="1:10" ht="18.75" thickBot="1">
      <c r="A34" s="39"/>
      <c r="B34" s="148"/>
      <c r="C34" s="149"/>
      <c r="D34" s="150"/>
      <c r="E34" s="150"/>
      <c r="F34" s="150"/>
      <c r="G34" s="151"/>
      <c r="H34" s="233"/>
      <c r="I34" s="133"/>
      <c r="J34" s="366"/>
    </row>
    <row r="35" spans="1:10" ht="18">
      <c r="A35" s="39"/>
      <c r="B35" s="368" t="s">
        <v>164</v>
      </c>
      <c r="C35" s="216"/>
      <c r="D35" s="219"/>
      <c r="E35" s="219"/>
      <c r="F35" s="219"/>
      <c r="G35" s="310"/>
      <c r="H35" s="198"/>
      <c r="I35" s="133"/>
      <c r="J35" s="366"/>
    </row>
    <row r="36" spans="1:10" ht="18">
      <c r="A36" s="39"/>
      <c r="B36" s="136"/>
      <c r="C36" s="114" t="s">
        <v>51</v>
      </c>
      <c r="D36" s="226">
        <f>SUM(J36:J40)</f>
        <v>24215.72</v>
      </c>
      <c r="E36" s="137"/>
      <c r="F36" s="137" t="s">
        <v>104</v>
      </c>
      <c r="G36" s="165">
        <v>1</v>
      </c>
      <c r="H36" s="294">
        <v>23700</v>
      </c>
      <c r="I36" s="133"/>
      <c r="J36" s="369">
        <f>H36*1</f>
        <v>23700</v>
      </c>
    </row>
    <row r="37" spans="1:10" ht="18">
      <c r="A37" s="39"/>
      <c r="B37" s="136"/>
      <c r="C37" s="114"/>
      <c r="D37" s="137"/>
      <c r="E37" s="137"/>
      <c r="F37" s="137" t="s">
        <v>105</v>
      </c>
      <c r="G37" s="165">
        <v>1</v>
      </c>
      <c r="H37" s="186">
        <v>300.72</v>
      </c>
      <c r="I37" s="133"/>
      <c r="J37" s="369">
        <f>H37*1</f>
        <v>300.72</v>
      </c>
    </row>
    <row r="38" spans="1:10" ht="18">
      <c r="A38" s="39"/>
      <c r="B38" s="136"/>
      <c r="C38" s="114"/>
      <c r="D38" s="137"/>
      <c r="E38" s="137"/>
      <c r="F38" s="137" t="s">
        <v>106</v>
      </c>
      <c r="G38" s="165">
        <v>50</v>
      </c>
      <c r="H38" s="186">
        <v>4.3</v>
      </c>
      <c r="I38" s="133"/>
      <c r="J38" s="369">
        <f>G38*H38</f>
        <v>215</v>
      </c>
    </row>
    <row r="39" spans="1:10" ht="18">
      <c r="A39" s="39"/>
      <c r="B39" s="136"/>
      <c r="C39" s="114"/>
      <c r="D39" s="137"/>
      <c r="E39" s="137"/>
      <c r="F39" s="137"/>
      <c r="G39" s="165"/>
      <c r="H39" s="370"/>
      <c r="I39" s="279"/>
      <c r="J39" s="146"/>
    </row>
    <row r="40" spans="1:10" ht="18.75" thickBot="1">
      <c r="A40" s="39"/>
      <c r="B40" s="148"/>
      <c r="C40" s="149"/>
      <c r="D40" s="150"/>
      <c r="E40" s="150"/>
      <c r="F40" s="150"/>
      <c r="G40" s="151"/>
      <c r="H40" s="371"/>
      <c r="I40" s="281"/>
      <c r="J40" s="154"/>
    </row>
    <row r="41" spans="1:10" ht="18">
      <c r="A41" s="39"/>
      <c r="B41" s="368" t="s">
        <v>165</v>
      </c>
      <c r="C41" s="216"/>
      <c r="D41" s="248">
        <f>SUM(D22:D40)</f>
        <v>89783.20857142856</v>
      </c>
      <c r="E41" s="219"/>
      <c r="F41" s="219"/>
      <c r="G41" s="310"/>
      <c r="H41" s="372"/>
      <c r="I41" s="373"/>
      <c r="J41" s="374">
        <f>SUM(J22:J40)</f>
        <v>89783.20857142856</v>
      </c>
    </row>
  </sheetData>
  <sheetProtection/>
  <printOptions/>
  <pageMargins left="0.75" right="0.75" top="1" bottom="1" header="0.5" footer="0.5"/>
  <pageSetup horizontalDpi="300" verticalDpi="300" orientation="landscape" paperSize="9" scale="54" r:id="rId1"/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 Hope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Chikalogwe</dc:creator>
  <cp:keywords/>
  <dc:description/>
  <cp:lastModifiedBy>Philip Brocklehurst</cp:lastModifiedBy>
  <cp:lastPrinted>2010-01-13T05:57:30Z</cp:lastPrinted>
  <dcterms:created xsi:type="dcterms:W3CDTF">2007-11-30T16:59:23Z</dcterms:created>
  <dcterms:modified xsi:type="dcterms:W3CDTF">2010-01-13T06:24:08Z</dcterms:modified>
  <cp:category/>
  <cp:version/>
  <cp:contentType/>
  <cp:contentStatus/>
</cp:coreProperties>
</file>